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11685" tabRatio="779"/>
  </bookViews>
  <sheets>
    <sheet name="Свод " sheetId="14" r:id="rId1"/>
    <sheet name="Геодезия" sheetId="16" r:id="rId2"/>
    <sheet name="Геология" sheetId="22" r:id="rId3"/>
    <sheet name="Экология" sheetId="19" r:id="rId4"/>
    <sheet name="Гидрометеорология" sheetId="23" r:id="rId5"/>
    <sheet name="ППТ и ПМТ" sheetId="24" r:id="rId6"/>
    <sheet name="археология" sheetId="25" r:id="rId7"/>
    <sheet name="ПД" sheetId="32" r:id="rId8"/>
    <sheet name="РД" sheetId="33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dck" localSheetId="5">[1]топография!#REF!</definedName>
    <definedName name="dck" localSheetId="3">[1]топография!#REF!</definedName>
    <definedName name="dck">[1]топография!#REF!</definedName>
    <definedName name="ghj" localSheetId="5">#REF!</definedName>
    <definedName name="ghj">#REF!</definedName>
    <definedName name="i" localSheetId="5">#REF!</definedName>
    <definedName name="i">#REF!</definedName>
    <definedName name="io" localSheetId="5">[2]топография!#REF!</definedName>
    <definedName name="io" localSheetId="3">[2]топография!#REF!</definedName>
    <definedName name="io">[2]топография!#REF!</definedName>
    <definedName name="Itog" localSheetId="5">#REF!</definedName>
    <definedName name="Itog">#REF!</definedName>
    <definedName name="Itog1" localSheetId="5">#REF!</definedName>
    <definedName name="Itog1">#REF!</definedName>
    <definedName name="rtutyui" localSheetId="5">#REF!</definedName>
    <definedName name="rtutyui">#REF!</definedName>
    <definedName name="SM" localSheetId="5">#REF!</definedName>
    <definedName name="SM">#REF!</definedName>
    <definedName name="SM_SM" localSheetId="5">#REF!</definedName>
    <definedName name="SM_SM">#REF!</definedName>
    <definedName name="SM_STO" localSheetId="5">#REF!</definedName>
    <definedName name="SM_STO">#REF!</definedName>
    <definedName name="SM_STO1" localSheetId="5">#REF!</definedName>
    <definedName name="SM_STO1">#REF!</definedName>
    <definedName name="SM_STO2" localSheetId="5">#REF!</definedName>
    <definedName name="SM_STO2">#REF!</definedName>
    <definedName name="SM_STO3" localSheetId="5">#REF!</definedName>
    <definedName name="SM_STO3">#REF!</definedName>
    <definedName name="smm" localSheetId="5">#REF!</definedName>
    <definedName name="smm">#REF!</definedName>
    <definedName name="smsm" localSheetId="5">#REF!</definedName>
    <definedName name="smsm">#REF!</definedName>
    <definedName name="smsto1" localSheetId="5">#REF!</definedName>
    <definedName name="smsto1">#REF!</definedName>
    <definedName name="smsto2" localSheetId="5">#REF!</definedName>
    <definedName name="smsto2">#REF!</definedName>
    <definedName name="smsto33" localSheetId="5">#REF!</definedName>
    <definedName name="smsto33">#REF!</definedName>
    <definedName name="snmm" localSheetId="5">#REF!</definedName>
    <definedName name="snmm">#REF!</definedName>
    <definedName name="SR" localSheetId="5">#REF!</definedName>
    <definedName name="SR">#REF!</definedName>
    <definedName name="SUM_" localSheetId="5">#REF!</definedName>
    <definedName name="SUM_">#REF!</definedName>
    <definedName name="SUM_1" localSheetId="5">#REF!</definedName>
    <definedName name="SUM_1">#REF!</definedName>
    <definedName name="SUM_3" localSheetId="5">#REF!</definedName>
    <definedName name="SUM_3">#REF!</definedName>
    <definedName name="summ" localSheetId="5">#REF!</definedName>
    <definedName name="summ">#REF!</definedName>
    <definedName name="summ1" localSheetId="5">#REF!</definedName>
    <definedName name="summ1">#REF!</definedName>
    <definedName name="tyry" localSheetId="5">[1]топография!#REF!</definedName>
    <definedName name="tyry" localSheetId="3">[1]топография!#REF!</definedName>
    <definedName name="tyry">[1]топография!#REF!</definedName>
    <definedName name="yr" localSheetId="5">#REF!</definedName>
    <definedName name="yr">#REF!</definedName>
    <definedName name="yrty" localSheetId="5">[2]топография!#REF!</definedName>
    <definedName name="yrty" localSheetId="3">[2]топография!#REF!</definedName>
    <definedName name="yrty">[2]топография!#REF!</definedName>
    <definedName name="ytry" localSheetId="5">[1]топография!#REF!</definedName>
    <definedName name="ytry" localSheetId="3">[1]топография!#REF!</definedName>
    <definedName name="ytry">[1]топография!#REF!</definedName>
    <definedName name="yy" localSheetId="5">#REF!</definedName>
    <definedName name="yy">#REF!</definedName>
    <definedName name="ZAK1" localSheetId="5">#REF!</definedName>
    <definedName name="ZAK1">#REF!</definedName>
    <definedName name="ZAK2" localSheetId="5">#REF!</definedName>
    <definedName name="ZAK2">#REF!</definedName>
    <definedName name="а36" localSheetId="5">#REF!</definedName>
    <definedName name="а36">#REF!</definedName>
    <definedName name="авыавыа" localSheetId="5">#REF!</definedName>
    <definedName name="авыавыа">#REF!</definedName>
    <definedName name="апр" localSheetId="5">[1]топография!#REF!</definedName>
    <definedName name="апр" localSheetId="3">[1]топография!#REF!</definedName>
    <definedName name="апр">[1]топография!#REF!</definedName>
    <definedName name="АСУТП">'[3]1'!$I$12:$I$15</definedName>
    <definedName name="бб">[1]топография!#REF!</definedName>
    <definedName name="броб" localSheetId="5">#REF!</definedName>
    <definedName name="броб">#REF!</definedName>
    <definedName name="ва">[2]топография!#REF!</definedName>
    <definedName name="вапр" localSheetId="5">#REF!</definedName>
    <definedName name="вапр">#REF!</definedName>
    <definedName name="вапрр" localSheetId="5">#REF!</definedName>
    <definedName name="вапрр">#REF!</definedName>
    <definedName name="ввв" localSheetId="5">[1]топография!#REF!</definedName>
    <definedName name="ввв">[1]топография!#REF!</definedName>
    <definedName name="вп" localSheetId="5">#REF!</definedName>
    <definedName name="вп">#REF!</definedName>
    <definedName name="гедезия" localSheetId="5">[2]топография!#REF!</definedName>
    <definedName name="гедезия">[2]топография!#REF!</definedName>
    <definedName name="гео" localSheetId="5">#REF!</definedName>
    <definedName name="гео">#REF!</definedName>
    <definedName name="геология" localSheetId="5">[1]топография!#REF!</definedName>
    <definedName name="геология">[1]топография!#REF!</definedName>
    <definedName name="ГИП">[4]D!$C$20</definedName>
    <definedName name="гос" localSheetId="5">#REF!</definedName>
    <definedName name="гос" localSheetId="3">#REF!</definedName>
    <definedName name="гос">#REF!</definedName>
    <definedName name="гшшн" localSheetId="5">#REF!</definedName>
    <definedName name="гшшн" localSheetId="3">#REF!</definedName>
    <definedName name="гшшн">#REF!</definedName>
    <definedName name="ДСК" localSheetId="5">[2]топография!#REF!</definedName>
    <definedName name="ДСК" localSheetId="3">[2]топография!#REF!</definedName>
    <definedName name="ДСК">[2]топография!#REF!</definedName>
    <definedName name="жджддд" localSheetId="5">#REF!</definedName>
    <definedName name="жджддд" localSheetId="3">#REF!</definedName>
    <definedName name="жджддд">#REF!</definedName>
    <definedName name="ждл" localSheetId="5">[2]топография!#REF!</definedName>
    <definedName name="ждл" localSheetId="3">[2]топография!#REF!</definedName>
    <definedName name="ждл">[2]топография!#REF!</definedName>
    <definedName name="ждлдж" localSheetId="5">#REF!</definedName>
    <definedName name="ждлдж" localSheetId="3">#REF!</definedName>
    <definedName name="ждлдж">#REF!</definedName>
    <definedName name="ждлллл" localSheetId="5">#REF!</definedName>
    <definedName name="ждлллл">#REF!</definedName>
    <definedName name="жжл" localSheetId="5">[1]топография!#REF!</definedName>
    <definedName name="жжл">[1]топография!#REF!</definedName>
    <definedName name="жлгл" localSheetId="5">#REF!</definedName>
    <definedName name="жлгл">#REF!</definedName>
    <definedName name="_xlnm.Print_Titles" localSheetId="7">ПД!$14:$14</definedName>
    <definedName name="_xlnm.Print_Titles" localSheetId="8">РД!$14:$14</definedName>
    <definedName name="Заказчик">[4]D!$C$16</definedName>
    <definedName name="ЗакЛицо">[4]D!$C$19</definedName>
    <definedName name="зшг" localSheetId="5">#REF!</definedName>
    <definedName name="зшг" localSheetId="3">#REF!</definedName>
    <definedName name="зшг">#REF!</definedName>
    <definedName name="ййй">[1]топография!#REF!</definedName>
    <definedName name="итьь" localSheetId="3">[1]топография!#REF!</definedName>
    <definedName name="итьь">[1]топография!#REF!</definedName>
    <definedName name="итььтьь" localSheetId="3">[2]топография!#REF!</definedName>
    <definedName name="итььтьь">[2]топография!#REF!</definedName>
    <definedName name="калплан" localSheetId="3">#REF!</definedName>
    <definedName name="калплан">#REF!</definedName>
    <definedName name="ке" localSheetId="3">#REF!</definedName>
    <definedName name="ке">#REF!</definedName>
    <definedName name="кек" localSheetId="3">#REF!</definedName>
    <definedName name="кек">#REF!</definedName>
    <definedName name="куцй" localSheetId="5">#REF!</definedName>
    <definedName name="куцй">#REF!</definedName>
    <definedName name="лдддд" localSheetId="5">[1]топография!#REF!</definedName>
    <definedName name="лдддд">[1]топография!#REF!</definedName>
    <definedName name="лджждл" localSheetId="5">[2]топография!#REF!</definedName>
    <definedName name="лджждл">[2]топография!#REF!</definedName>
    <definedName name="ллл" localSheetId="5">#REF!</definedName>
    <definedName name="ллл">#REF!</definedName>
    <definedName name="лорп" localSheetId="5">#REF!</definedName>
    <definedName name="лорп">#REF!</definedName>
    <definedName name="меропр">'[5]1'!$I$12:$I$15</definedName>
    <definedName name="митим">[1]топография!#REF!</definedName>
    <definedName name="митюгов">'[6]Данные для расчёта сметы'!$J$33</definedName>
    <definedName name="мм">[2]топография!#REF!</definedName>
    <definedName name="мсчя" localSheetId="5">#REF!</definedName>
    <definedName name="мсчя">#REF!</definedName>
    <definedName name="напар">[1]топография!#REF!</definedName>
    <definedName name="нгш" localSheetId="5">#REF!</definedName>
    <definedName name="нгш">#REF!</definedName>
    <definedName name="некрапр" localSheetId="5">#REF!</definedName>
    <definedName name="некрапр">#REF!</definedName>
    <definedName name="нкеу" localSheetId="5">#REF!</definedName>
    <definedName name="нкеу">#REF!</definedName>
    <definedName name="нкеуу" localSheetId="5">[2]топография!#REF!</definedName>
    <definedName name="нкеуу">[2]топография!#REF!</definedName>
    <definedName name="_xlnm.Print_Area" localSheetId="1">Геодезия!$A$1:$R$19</definedName>
    <definedName name="_xlnm.Print_Area" localSheetId="2">Геология!$A$1:$G$41</definedName>
    <definedName name="_xlnm.Print_Area" localSheetId="4">Гидрометеорология!$A$1:$G$42</definedName>
    <definedName name="_xlnm.Print_Area" localSheetId="5">'ППТ и ПМТ'!$A$1:$E$23</definedName>
    <definedName name="_xlnm.Print_Area" localSheetId="0">'Свод '!$A$1:$F$23</definedName>
    <definedName name="_xlnm.Print_Area" localSheetId="3">Экология!$A$1:$H$79</definedName>
    <definedName name="общая" localSheetId="3">#REF!</definedName>
    <definedName name="общая">#REF!</definedName>
    <definedName name="объем___0">NA()</definedName>
    <definedName name="объем___10">NA()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0_1">NA()</definedName>
    <definedName name="объем___12">NA()</definedName>
    <definedName name="объем___3___0___0">NA()</definedName>
    <definedName name="объем___3___0___0___0">NA()</definedName>
    <definedName name="объем___3___0___1">NA()</definedName>
    <definedName name="объем___3___0_1">NA()</definedName>
    <definedName name="объем___3_3">NA()</definedName>
    <definedName name="объем___4___0___5">NA()</definedName>
    <definedName name="объем___4___0_5">NA()</definedName>
    <definedName name="объем___5___5">NA()</definedName>
    <definedName name="объем___5_3">NA()</definedName>
    <definedName name="объем___5_5">NA()</definedName>
    <definedName name="объем___6___5">NA()</definedName>
    <definedName name="объем___6_5">NA()</definedName>
    <definedName name="объем_1">NA()</definedName>
    <definedName name="объем_3">NA()</definedName>
    <definedName name="объем_4">NA()</definedName>
    <definedName name="объем_5">NA()</definedName>
    <definedName name="овпва" localSheetId="5">#REF!</definedName>
    <definedName name="овпва" localSheetId="3">#REF!</definedName>
    <definedName name="овпва">#REF!</definedName>
    <definedName name="ооо" localSheetId="5">[1]топография!#REF!</definedName>
    <definedName name="ооо" localSheetId="3">[1]топография!#REF!</definedName>
    <definedName name="ооо">[1]топография!#REF!</definedName>
    <definedName name="оооо" localSheetId="5">#REF!</definedName>
    <definedName name="оооо" localSheetId="3">#REF!</definedName>
    <definedName name="оооо">#REF!</definedName>
    <definedName name="орап" localSheetId="5">#REF!</definedName>
    <definedName name="орап">#REF!</definedName>
    <definedName name="орп" localSheetId="5">#REF!</definedName>
    <definedName name="орп">#REF!</definedName>
    <definedName name="орпрпр" localSheetId="5">#REF!</definedName>
    <definedName name="орпрпр">#REF!</definedName>
    <definedName name="паа" localSheetId="5">[1]топография!#REF!</definedName>
    <definedName name="паа">[1]топография!#REF!</definedName>
    <definedName name="пваы" localSheetId="5">#REF!</definedName>
    <definedName name="пваы">#REF!</definedName>
    <definedName name="пирп" localSheetId="5">[2]топография!#REF!</definedName>
    <definedName name="пирп">[2]топография!#REF!</definedName>
    <definedName name="план" localSheetId="5">[2]топография!#REF!</definedName>
    <definedName name="план">[2]топография!#REF!</definedName>
    <definedName name="ПодПодпись">[4]D!$C$15</definedName>
    <definedName name="Поправочные_коэффициенты_по_письму_Госстроя_от_25.12.90___0">NA()</definedName>
    <definedName name="Поправочные_коэффициенты_по_письму_Госстроя_от_25.12.90___10">NA()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#REF!</definedName>
    <definedName name="пробная" localSheetId="5">#REF!</definedName>
    <definedName name="пробная">#REF!</definedName>
    <definedName name="пропро">[1]топография!#REF!</definedName>
    <definedName name="рол" localSheetId="5">#REF!</definedName>
    <definedName name="рол">#REF!</definedName>
    <definedName name="рпаааа">[1]топография!#REF!</definedName>
    <definedName name="рпаапр" localSheetId="5">#REF!</definedName>
    <definedName name="рпаапр">#REF!</definedName>
    <definedName name="рпаапррр" localSheetId="5">#REF!</definedName>
    <definedName name="рпаапррр">#REF!</definedName>
    <definedName name="ррр" localSheetId="5">[1]топография!#REF!</definedName>
    <definedName name="ррр">[1]топография!#REF!</definedName>
    <definedName name="рррр" localSheetId="5">#REF!</definedName>
    <definedName name="рррр">#REF!</definedName>
    <definedName name="с" localSheetId="5">[1]топография!#REF!</definedName>
    <definedName name="с">[1]топография!#REF!</definedName>
    <definedName name="симмм" localSheetId="5">[1]топография!#REF!</definedName>
    <definedName name="симмм">[1]топография!#REF!</definedName>
    <definedName name="сммм" localSheetId="5">[1]топография!#REF!</definedName>
    <definedName name="сммм">[1]топография!#REF!</definedName>
    <definedName name="СтОф">OFFSET([7]шаблон!$E$3,0,0,COUNTA([7]шаблон!$E$1:$E$65536)-2)</definedName>
    <definedName name="СтПр">OFFSET([7]шаблон!$G$3,0,0,COUNTA([7]шаблон!$G$1:$G$65536)-2)</definedName>
    <definedName name="Сургут">NA()</definedName>
    <definedName name="ТекДата">[8]информация!$B$8</definedName>
    <definedName name="тььть">[1]топография!#REF!</definedName>
    <definedName name="укеее" localSheetId="5">#REF!</definedName>
    <definedName name="укеее">#REF!</definedName>
    <definedName name="ф">'[9]1'!$I$12:$I$15</definedName>
    <definedName name="ххххх">[2]топография!#REF!</definedName>
    <definedName name="цена___0">NA()</definedName>
    <definedName name="цена___10">NA()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0_1">NA()</definedName>
    <definedName name="цена___12">NA()</definedName>
    <definedName name="цена___3___0___0">NA()</definedName>
    <definedName name="цена___3___0___0___0">NA()</definedName>
    <definedName name="цена___3___0___1">NA()</definedName>
    <definedName name="цена___3___0_1">NA()</definedName>
    <definedName name="цена___3_3">NA()</definedName>
    <definedName name="цена___4___0___5">NA()</definedName>
    <definedName name="цена___4___0_5">NA()</definedName>
    <definedName name="цена___5___5">NA()</definedName>
    <definedName name="цена___5_3">NA()</definedName>
    <definedName name="цена___5_5">NA()</definedName>
    <definedName name="цена___6___5">NA()</definedName>
    <definedName name="цена___6_5">NA()</definedName>
    <definedName name="цена_1">NA()</definedName>
    <definedName name="цена_3">NA()</definedName>
    <definedName name="цена_4">NA()</definedName>
    <definedName name="цена_5">NA()</definedName>
    <definedName name="шгнеккк">#REF!</definedName>
    <definedName name="Ширяйка">[1]топография!#REF!</definedName>
    <definedName name="шнге">[1]топография!#REF!</definedName>
    <definedName name="ъхзщ" localSheetId="5">#REF!</definedName>
    <definedName name="ъхзщ">#REF!</definedName>
    <definedName name="ъщзх" localSheetId="5">#REF!</definedName>
    <definedName name="ъщзх">#REF!</definedName>
    <definedName name="ьми" localSheetId="5">#REF!</definedName>
    <definedName name="ьми">#REF!</definedName>
    <definedName name="эджл" localSheetId="5">#REF!</definedName>
    <definedName name="эджл">#REF!</definedName>
    <definedName name="эдлл" localSheetId="5">#REF!</definedName>
    <definedName name="эдлл">#REF!</definedName>
    <definedName name="эждл" localSheetId="5">#REF!</definedName>
    <definedName name="эждл">#REF!</definedName>
    <definedName name="экспертиза" localSheetId="5">#REF!</definedName>
    <definedName name="экспертиза">#REF!</definedName>
    <definedName name="юбьр" localSheetId="5">#REF!</definedName>
    <definedName name="юбьр">#REF!</definedName>
  </definedNames>
  <calcPr calcId="144525" refMode="R1C1"/>
</workbook>
</file>

<file path=xl/calcChain.xml><?xml version="1.0" encoding="utf-8"?>
<calcChain xmlns="http://schemas.openxmlformats.org/spreadsheetml/2006/main">
  <c r="E12" i="14" l="1"/>
  <c r="E13" i="14"/>
  <c r="I55" i="33"/>
  <c r="I50" i="33"/>
  <c r="I45" i="33"/>
  <c r="I41" i="33"/>
  <c r="I37" i="33"/>
  <c r="I33" i="33"/>
  <c r="I28" i="33"/>
  <c r="I23" i="33"/>
  <c r="I19" i="33"/>
  <c r="I15" i="33"/>
  <c r="I59" i="33" s="1"/>
  <c r="I65" i="32"/>
  <c r="I60" i="32"/>
  <c r="I55" i="32"/>
  <c r="I50" i="32"/>
  <c r="I46" i="32"/>
  <c r="I42" i="32"/>
  <c r="I38" i="32"/>
  <c r="I33" i="32"/>
  <c r="I28" i="32"/>
  <c r="I24" i="32"/>
  <c r="I20" i="32"/>
  <c r="I15" i="32"/>
  <c r="I72" i="32" s="1"/>
  <c r="E23" i="24"/>
  <c r="E7" i="24"/>
  <c r="I61" i="33" l="1"/>
  <c r="I60" i="33"/>
  <c r="I74" i="32"/>
  <c r="I73" i="32"/>
  <c r="E14" i="24"/>
  <c r="B7" i="24"/>
  <c r="I62" i="33" l="1"/>
  <c r="I63" i="33" s="1"/>
  <c r="I75" i="32"/>
  <c r="I76" i="32" s="1"/>
  <c r="E21" i="24"/>
  <c r="C10" i="24"/>
  <c r="R10" i="16"/>
  <c r="E9" i="25" l="1"/>
  <c r="G9" i="25" s="1"/>
  <c r="H14" i="25"/>
  <c r="H13" i="25"/>
  <c r="H8" i="25"/>
  <c r="C17" i="24"/>
  <c r="B14" i="24"/>
  <c r="H15" i="25" l="1"/>
  <c r="E22" i="24"/>
  <c r="H9" i="25"/>
  <c r="H10" i="25" s="1"/>
  <c r="H11" i="25" s="1"/>
  <c r="H16" i="25" l="1"/>
  <c r="H17" i="25" s="1"/>
  <c r="E11" i="14" s="1"/>
  <c r="E10" i="14"/>
  <c r="G20" i="19"/>
  <c r="E11" i="22" l="1"/>
  <c r="G11" i="16"/>
  <c r="E13" i="22" l="1"/>
  <c r="E14" i="22"/>
  <c r="E25" i="23"/>
  <c r="G21" i="19"/>
  <c r="R14" i="16"/>
  <c r="E16" i="16" s="1"/>
  <c r="G31" i="23"/>
  <c r="F28" i="23"/>
  <c r="G28" i="23" s="1"/>
  <c r="F27" i="23"/>
  <c r="G27" i="23" s="1"/>
  <c r="G26" i="23"/>
  <c r="G17" i="23"/>
  <c r="G16" i="23"/>
  <c r="G15" i="23"/>
  <c r="G14" i="23"/>
  <c r="G13" i="23"/>
  <c r="G12" i="23"/>
  <c r="G11" i="23"/>
  <c r="G10" i="23"/>
  <c r="G36" i="22"/>
  <c r="G29" i="22"/>
  <c r="G11" i="22"/>
  <c r="G32" i="22"/>
  <c r="E15" i="22" l="1"/>
  <c r="G18" i="23"/>
  <c r="G20" i="23" s="1"/>
  <c r="E17" i="16"/>
  <c r="R16" i="16"/>
  <c r="G14" i="22"/>
  <c r="G25" i="23"/>
  <c r="G29" i="23" s="1"/>
  <c r="G10" i="22"/>
  <c r="E17" i="22"/>
  <c r="G30" i="23" l="1"/>
  <c r="G32" i="23" s="1"/>
  <c r="G21" i="23"/>
  <c r="G23" i="23" s="1"/>
  <c r="B22" i="23"/>
  <c r="G15" i="22"/>
  <c r="E16" i="22"/>
  <c r="G16" i="22" s="1"/>
  <c r="G13" i="22"/>
  <c r="E25" i="22"/>
  <c r="G17" i="22"/>
  <c r="G25" i="22" l="1"/>
  <c r="G33" i="22" s="1"/>
  <c r="E26" i="22"/>
  <c r="G18" i="22"/>
  <c r="G20" i="22" s="1"/>
  <c r="G33" i="23"/>
  <c r="G34" i="23" s="1"/>
  <c r="B33" i="22" l="1"/>
  <c r="E27" i="22"/>
  <c r="G26" i="22"/>
  <c r="G35" i="23"/>
  <c r="G37" i="23" s="1"/>
  <c r="E9" i="14" s="1"/>
  <c r="G21" i="22"/>
  <c r="E28" i="22" l="1"/>
  <c r="G28" i="22" s="1"/>
  <c r="G27" i="22"/>
  <c r="G23" i="22"/>
  <c r="G30" i="22" l="1"/>
  <c r="B34" i="22"/>
  <c r="G34" i="22"/>
  <c r="G35" i="22" s="1"/>
  <c r="G37" i="22" s="1"/>
  <c r="G38" i="22" l="1"/>
  <c r="G39" i="22" s="1"/>
  <c r="G40" i="22" s="1"/>
  <c r="E7" i="14" s="1"/>
  <c r="H21" i="19"/>
  <c r="H20" i="19"/>
  <c r="G13" i="19"/>
  <c r="G12" i="19"/>
  <c r="H12" i="19" s="1"/>
  <c r="G11" i="19"/>
  <c r="H11" i="19" s="1"/>
  <c r="H9" i="19"/>
  <c r="G17" i="16"/>
  <c r="H13" i="19" l="1"/>
  <c r="G14" i="19"/>
  <c r="R11" i="16"/>
  <c r="R15" i="16" s="1"/>
  <c r="R17" i="16"/>
  <c r="H14" i="19" l="1"/>
  <c r="G15" i="19"/>
  <c r="R18" i="16"/>
  <c r="E19" i="16" s="1"/>
  <c r="R19" i="16" l="1"/>
  <c r="E6" i="14" s="1"/>
  <c r="G16" i="19"/>
  <c r="H15" i="19"/>
  <c r="H23" i="19" s="1"/>
  <c r="F26" i="19" l="1"/>
  <c r="F28" i="19" s="1"/>
  <c r="H16" i="19"/>
  <c r="G17" i="19"/>
  <c r="F52" i="19" l="1"/>
  <c r="H25" i="19"/>
  <c r="G25" i="19"/>
  <c r="G18" i="19"/>
  <c r="H17" i="19"/>
  <c r="G51" i="19" l="1"/>
  <c r="H51" i="19"/>
  <c r="F54" i="19"/>
  <c r="F30" i="19"/>
  <c r="F32" i="19" s="1"/>
  <c r="H27" i="19"/>
  <c r="G27" i="19"/>
  <c r="H18" i="19"/>
  <c r="G19" i="19"/>
  <c r="H19" i="19" s="1"/>
  <c r="H22" i="19" l="1"/>
  <c r="G53" i="19"/>
  <c r="F56" i="19"/>
  <c r="H53" i="19"/>
  <c r="H29" i="19"/>
  <c r="G29" i="19"/>
  <c r="H71" i="19" l="1"/>
  <c r="F71" i="19"/>
  <c r="F70" i="19"/>
  <c r="H70" i="19"/>
  <c r="G55" i="19"/>
  <c r="H55" i="19"/>
  <c r="F58" i="19"/>
  <c r="F34" i="19"/>
  <c r="G31" i="19"/>
  <c r="H31" i="19"/>
  <c r="F60" i="19" l="1"/>
  <c r="G57" i="19"/>
  <c r="H57" i="19"/>
  <c r="F36" i="19"/>
  <c r="H33" i="19"/>
  <c r="G33" i="19"/>
  <c r="H59" i="19" l="1"/>
  <c r="H61" i="19" s="1"/>
  <c r="G59" i="19"/>
  <c r="H35" i="19"/>
  <c r="G35" i="19"/>
  <c r="F38" i="19"/>
  <c r="F65" i="19" l="1"/>
  <c r="H65" i="19" s="1"/>
  <c r="F40" i="19"/>
  <c r="F42" i="19" s="1"/>
  <c r="H37" i="19"/>
  <c r="G37" i="19"/>
  <c r="G39" i="19" l="1"/>
  <c r="H39" i="19"/>
  <c r="F46" i="19" l="1"/>
  <c r="H41" i="19"/>
  <c r="F44" i="19"/>
  <c r="G41" i="19"/>
  <c r="G43" i="19" l="1"/>
  <c r="H43" i="19"/>
  <c r="G45" i="19"/>
  <c r="F48" i="19"/>
  <c r="H45" i="19"/>
  <c r="G47" i="19" l="1"/>
  <c r="H47" i="19"/>
  <c r="H49" i="19" s="1"/>
  <c r="F66" i="19" l="1"/>
  <c r="H66" i="19" s="1"/>
  <c r="H62" i="19"/>
  <c r="F64" i="19" s="1"/>
  <c r="H64" i="19" s="1"/>
  <c r="F67" i="19" s="1"/>
  <c r="H67" i="19" s="1"/>
  <c r="H68" i="19" l="1"/>
  <c r="H69" i="19" s="1"/>
  <c r="H72" i="19" s="1"/>
  <c r="H73" i="19" s="1"/>
  <c r="H74" i="19" s="1"/>
  <c r="H75" i="19" s="1"/>
  <c r="H76" i="19" l="1"/>
  <c r="E8" i="14" s="1"/>
  <c r="E14" i="14" l="1"/>
  <c r="E15" i="14" s="1"/>
  <c r="E16" i="14" s="1"/>
</calcChain>
</file>

<file path=xl/sharedStrings.xml><?xml version="1.0" encoding="utf-8"?>
<sst xmlns="http://schemas.openxmlformats.org/spreadsheetml/2006/main" count="851" uniqueCount="438">
  <si>
    <t>Наименование работ</t>
  </si>
  <si>
    <t>Ед. изм.</t>
  </si>
  <si>
    <t>Цена за ед., руб.</t>
  </si>
  <si>
    <t>Кол-во</t>
  </si>
  <si>
    <t>СБЦ-99, таб. 9 п.5, 1 категория сложности</t>
  </si>
  <si>
    <t>1 км</t>
  </si>
  <si>
    <t>Описание точек отбора (полевые работы)</t>
  </si>
  <si>
    <t>1 точка</t>
  </si>
  <si>
    <t>Описание точек отбора (камеральные работы)</t>
  </si>
  <si>
    <t>Отбор проб поверхностных вод на химанализ</t>
  </si>
  <si>
    <t>СБЦ-99, таб. 60 п.1, примечание 3 к таб. 60</t>
  </si>
  <si>
    <t>1 проба</t>
  </si>
  <si>
    <t>4,6 х 0,5</t>
  </si>
  <si>
    <t>Отбор проб воды на баканализ</t>
  </si>
  <si>
    <t>СБЦ-99, таб. 60 п.9</t>
  </si>
  <si>
    <t>Отбор проб грунтов на химанализ</t>
  </si>
  <si>
    <t>СБЦ-99, таб. 60 п.7</t>
  </si>
  <si>
    <t>СБЦ-99, таб. 60 п.8, примечание 2 к таб. 60</t>
  </si>
  <si>
    <t>9,7 х 1,2</t>
  </si>
  <si>
    <t>Составление программы</t>
  </si>
  <si>
    <t>СБЦ-99, таб. 81, п.1</t>
  </si>
  <si>
    <t>1 программа</t>
  </si>
  <si>
    <t>СБЦ-99, таб. 86, п.6</t>
  </si>
  <si>
    <t>% от стоимости лабораторных работ</t>
  </si>
  <si>
    <t>-</t>
  </si>
  <si>
    <t>Составление отчета</t>
  </si>
  <si>
    <t>СБЦ-99, таб. 87, п.1</t>
  </si>
  <si>
    <t>% от стоимости камеральных работ</t>
  </si>
  <si>
    <t>Расходы по внутреннему транспорту</t>
  </si>
  <si>
    <t>% от стоимости полевых работ с учетом коэффициентов</t>
  </si>
  <si>
    <t>Расходы по организации/ликвидации работ</t>
  </si>
  <si>
    <t>Итого в ценах 1991 г.</t>
  </si>
  <si>
    <t>ВСЕГО по смете</t>
  </si>
  <si>
    <t>СБЦ-99, таб. 11 п.2, 1 категория сложности</t>
  </si>
  <si>
    <t>№ п/п</t>
  </si>
  <si>
    <t>Стоимость, руб.</t>
  </si>
  <si>
    <t>Нормативный документ, №таблицы</t>
  </si>
  <si>
    <t>Полевые работы</t>
  </si>
  <si>
    <t>Итого полевые работы</t>
  </si>
  <si>
    <t>№ п/п</t>
  </si>
  <si>
    <t>Виды работ</t>
  </si>
  <si>
    <t>Итого лабораторные работы</t>
  </si>
  <si>
    <t>Итого</t>
  </si>
  <si>
    <t>на инженерно-экологические изыскания</t>
  </si>
  <si>
    <t>Стоимость</t>
  </si>
  <si>
    <t>км</t>
  </si>
  <si>
    <t>%</t>
  </si>
  <si>
    <t>Цена</t>
  </si>
  <si>
    <t>1 профиль</t>
  </si>
  <si>
    <t>Определение скорости течения при ширине реки до 20 м</t>
  </si>
  <si>
    <t>1 серия</t>
  </si>
  <si>
    <t>Фотоработы</t>
  </si>
  <si>
    <t>1 снимок</t>
  </si>
  <si>
    <t>1 расчет</t>
  </si>
  <si>
    <t xml:space="preserve">Итого </t>
  </si>
  <si>
    <t xml:space="preserve">Письмо Минстроя России </t>
  </si>
  <si>
    <t>Письмо Минстроя России</t>
  </si>
  <si>
    <t>1,6х0,6</t>
  </si>
  <si>
    <t>18,8х0,85</t>
  </si>
  <si>
    <t>Итого камеральные работы</t>
  </si>
  <si>
    <t>Камеральная обработка химических и бактериологических анализов </t>
  </si>
  <si>
    <t>ИТОГО по смете:</t>
  </si>
  <si>
    <t xml:space="preserve">Формула расчета </t>
  </si>
  <si>
    <t>письмо Минрегиона развития РФ от 20.07.2011 г. № 19268-АП/08</t>
  </si>
  <si>
    <t>К2=0,4</t>
  </si>
  <si>
    <t>табл.3 п.3</t>
  </si>
  <si>
    <t>табл.3 п. 3</t>
  </si>
  <si>
    <t xml:space="preserve">СБЦП 81-2001-01 Справочник базовых цен на проектные работы в строительстве "Территориальное планирование и планировка территорий".                               </t>
  </si>
  <si>
    <t>С=(А+ВХ)* К1*К2, где</t>
  </si>
  <si>
    <t>К2=0,3</t>
  </si>
  <si>
    <t>обоснование стоимости по сборнику цен</t>
  </si>
  <si>
    <t>Расчет стоимости a+bx или (объем СМР)</t>
  </si>
  <si>
    <t>Характеристика здания, сооружения, предприятия или виды работ</t>
  </si>
  <si>
    <t>на разработку ППТ м ПМТ</t>
  </si>
  <si>
    <t xml:space="preserve">Наименование проектной (изыскательской) организации: </t>
  </si>
  <si>
    <t xml:space="preserve">Наименование организации Заказчика: </t>
  </si>
  <si>
    <t xml:space="preserve">письмо Минстроя России </t>
  </si>
  <si>
    <t xml:space="preserve">Сводный сметный расчет </t>
  </si>
  <si>
    <t>№№ п/п</t>
  </si>
  <si>
    <t>№ № расчетов</t>
  </si>
  <si>
    <t xml:space="preserve">Стоимость ,                                                                             руб.                                                                                                                                                                                                          </t>
  </si>
  <si>
    <t>Смета № 3</t>
  </si>
  <si>
    <t>Инженерно-экологические изыскания</t>
  </si>
  <si>
    <t>Смета № 4</t>
  </si>
  <si>
    <t>Всего</t>
  </si>
  <si>
    <t xml:space="preserve">                          Составил                                          ______________________ И.А. Петрова</t>
  </si>
  <si>
    <t>Инженерно-гидрометеорологические изыскания</t>
  </si>
  <si>
    <t>Смета № 5</t>
  </si>
  <si>
    <t>Смета № 6</t>
  </si>
  <si>
    <t>Проект планировки территории и проект межевания территории,</t>
  </si>
  <si>
    <t>С учетом коэффициента индексации</t>
  </si>
  <si>
    <t>Стоимостьс учетом коэффициента индексации</t>
  </si>
  <si>
    <t xml:space="preserve">на проведение научно - исследовательских археологических работ в виде историко-культурного научного археологического 
обследования с целью проведения государственной историко - культурной экспертизы </t>
  </si>
  <si>
    <t>Наменование работ</t>
  </si>
  <si>
    <t>Обоснование</t>
  </si>
  <si>
    <t>ед.изм</t>
  </si>
  <si>
    <t>кол-во</t>
  </si>
  <si>
    <t>цена</t>
  </si>
  <si>
    <t>расчет</t>
  </si>
  <si>
    <t>стоимость, руб</t>
  </si>
  <si>
    <t>Научно - исследовательские археологические разведки</t>
  </si>
  <si>
    <t>Обследование территории, 
сбор подъемного материала, изучение микрорельефа</t>
  </si>
  <si>
    <t>СЦНПР-91,
разд.6,гл. 1 т.,п 3</t>
  </si>
  <si>
    <t>Натурные научно-исследователькие полевые
исследования</t>
  </si>
  <si>
    <t>СЦНПР-91,
разд.6,гл.2 т6-2.,п.4-А</t>
  </si>
  <si>
    <t>1 квадрат</t>
  </si>
  <si>
    <t>Итого с учетом неблагоприятного периода</t>
  </si>
  <si>
    <t>Отчет об археологических исследованиях</t>
  </si>
  <si>
    <t>Написание текста отчета</t>
  </si>
  <si>
    <t>СЦНПР-91,
разд.6,гл.3 т6-3.,п.7-А</t>
  </si>
  <si>
    <t>печатный
лист</t>
  </si>
  <si>
    <t>Альбом фотоиллюстраций с подбором, наклейкой, компоновкой и составлением кратких аннотаций, включающий в себя до 20 фотографий</t>
  </si>
  <si>
    <t>СЦНПР-91,
разд.1,гл.3 т1-22.,п.5</t>
  </si>
  <si>
    <t>альбом 
до 5-ти экземпляров</t>
  </si>
  <si>
    <t>1*78</t>
  </si>
  <si>
    <t>Итого по отчету</t>
  </si>
  <si>
    <t>Коэффициент 58,4</t>
  </si>
  <si>
    <t xml:space="preserve">Письмо Мин.Культуры РФ </t>
  </si>
  <si>
    <t xml:space="preserve"> СМЕТА № 1</t>
  </si>
  <si>
    <t>на инженерно-геодезические изыскания</t>
  </si>
  <si>
    <t>№
пп</t>
  </si>
  <si>
    <t>Вид работ</t>
  </si>
  <si>
    <t>Справочник базовых цен, 2004
№№ табл. и §</t>
  </si>
  <si>
    <t>Расчет стоимости</t>
  </si>
  <si>
    <t>2001 г.</t>
  </si>
  <si>
    <t>Смета составлена на основании нормативных документов: "Сборник базовых цен на инженерно-геодезические изыскания для строительства", Москва, ПНИИИС Госстроя РФ; "Методическое руководство по определению стоимости инженерных изысканий для строительства", Москва, ПНИИИС Госстроя РФ.</t>
  </si>
  <si>
    <t>*</t>
  </si>
  <si>
    <t>Итого камеральных</t>
  </si>
  <si>
    <t>Табл. 4 § 3</t>
  </si>
  <si>
    <t>Орглигмероприятия</t>
  </si>
  <si>
    <t>стр.9 п.13</t>
  </si>
  <si>
    <t>(</t>
  </si>
  <si>
    <t>+</t>
  </si>
  <si>
    <t>)*</t>
  </si>
  <si>
    <t xml:space="preserve">Итого полевых, камеральных, и прочих </t>
  </si>
  <si>
    <t>НДС 20%</t>
  </si>
  <si>
    <t xml:space="preserve"> СМЕТА № 2</t>
  </si>
  <si>
    <t>Инженерно-геологические изыскания</t>
  </si>
  <si>
    <t>м</t>
  </si>
  <si>
    <t>12</t>
  </si>
  <si>
    <t>16</t>
  </si>
  <si>
    <t>Инженерно-геодезические изыскания</t>
  </si>
  <si>
    <t>Смета № 1</t>
  </si>
  <si>
    <t>Смета № 2</t>
  </si>
  <si>
    <t>Рекогносцировочное почвенное обследование при проходимости (полевые работы)</t>
  </si>
  <si>
    <t>Рекогносцировочное почвенное обследование при проходимости (камеральные работы)</t>
  </si>
  <si>
    <t>Наблюдения при передвижении по маршруту при составлении карты инженерно-экологической (полевые работы)</t>
  </si>
  <si>
    <t xml:space="preserve">СБЦ-99, таб. 10 п.4, прим; К-0,6- Глава2 п.5; </t>
  </si>
  <si>
    <t>16,3х0,6</t>
  </si>
  <si>
    <t>Наблюдения при передвижении по маршруту при составлении карты инженерно-экологической (камеральные работы)</t>
  </si>
  <si>
    <t>СБЦ-99, таб. 10 п.4, К-0,6- Глава2 п.5</t>
  </si>
  <si>
    <t>СБЦ-99, таб. 11 п., 1 категория сложности</t>
  </si>
  <si>
    <t>Отбор точечных проб для анализа на загрязненность по химическим показателям: воздуха почвенного (грунтового) и приземной атмосферы (пробоотборниками)</t>
  </si>
  <si>
    <t>Радиационное обследование участка
 св. 1,0 
(полевые работы)</t>
  </si>
  <si>
    <t>СБЦ-99, таб. 92 п.3</t>
  </si>
  <si>
    <t>0, 1га</t>
  </si>
  <si>
    <t>Радиационное обследование участка 
св. 1,0
(камеральные работы)</t>
  </si>
  <si>
    <t>0,1га</t>
  </si>
  <si>
    <t>Лабораторные работы по исследованию воды</t>
  </si>
  <si>
    <t>Ч.6 т.73, §1</t>
  </si>
  <si>
    <t xml:space="preserve"> -полный анализ воды</t>
  </si>
  <si>
    <t>ед. измерения: 1 проба</t>
  </si>
  <si>
    <t>проба</t>
  </si>
  <si>
    <t xml:space="preserve"> -нефтепродукты</t>
  </si>
  <si>
    <t>Ч.6 т.72, §38</t>
  </si>
  <si>
    <t xml:space="preserve"> -фенолы</t>
  </si>
  <si>
    <t>Ч.6 т.72, §66</t>
  </si>
  <si>
    <t xml:space="preserve"> -алюминий</t>
  </si>
  <si>
    <t>Ч.6 т.72, §1</t>
  </si>
  <si>
    <t xml:space="preserve"> -хром</t>
  </si>
  <si>
    <t>Ч.6 т.72, §74</t>
  </si>
  <si>
    <t xml:space="preserve"> -марганец</t>
  </si>
  <si>
    <t>Ч.6 т.72, §31</t>
  </si>
  <si>
    <t xml:space="preserve"> -никель</t>
  </si>
  <si>
    <t>Ч.6 т.72, §40</t>
  </si>
  <si>
    <t xml:space="preserve"> -медь</t>
  </si>
  <si>
    <t>Ч.6 т.72, §32</t>
  </si>
  <si>
    <t xml:space="preserve"> -цинк</t>
  </si>
  <si>
    <t>Ч.6 т.72, §75</t>
  </si>
  <si>
    <t xml:space="preserve"> -свинец</t>
  </si>
  <si>
    <t>Ч.6 т.72, §49</t>
  </si>
  <si>
    <t xml:space="preserve"> -кадмий</t>
  </si>
  <si>
    <t>Ч.6 т.72, §15</t>
  </si>
  <si>
    <t xml:space="preserve"> -ртуть</t>
  </si>
  <si>
    <t>Ч.6 т.72, §48</t>
  </si>
  <si>
    <t>Лабораторные работы по исследованию почво-грунтов</t>
  </si>
  <si>
    <t>приготовление водной вытяжки</t>
  </si>
  <si>
    <t>Ч.6 т.70, §83</t>
  </si>
  <si>
    <t xml:space="preserve">ед. измерения: 1 образец </t>
  </si>
  <si>
    <t>образец</t>
  </si>
  <si>
    <t>рН</t>
  </si>
  <si>
    <t>Ч.6 т.70, §14</t>
  </si>
  <si>
    <t>нефтяные углеводороды</t>
  </si>
  <si>
    <t>Ч.6 т.70, §63</t>
  </si>
  <si>
    <t>Ч.6 т.70, §57</t>
  </si>
  <si>
    <t xml:space="preserve"> определение бензапирена</t>
  </si>
  <si>
    <t>Ч.6 т.70, §66</t>
  </si>
  <si>
    <t xml:space="preserve">Камеральная обработка
химического состава грунтов и почв
</t>
  </si>
  <si>
    <t>СБЦ-99, таб. 86, п.4</t>
  </si>
  <si>
    <t>Камеральная обработка
химического и бактериологического состава воды</t>
  </si>
  <si>
    <t>СБЦ-99, таб. 86, п.5</t>
  </si>
  <si>
    <t>Расходы по внутреннему транспорту
св. 5 км. до 10 км.</t>
  </si>
  <si>
    <t>СБЦ-99, таб. 4, п.2</t>
  </si>
  <si>
    <t>СБЦ-99, общие указания, п. 13, примеч.</t>
  </si>
  <si>
    <t>табл. 9 п.4</t>
  </si>
  <si>
    <t>К1=0,08</t>
  </si>
  <si>
    <t>Итого полевых</t>
  </si>
  <si>
    <t>№</t>
  </si>
  <si>
    <t>Наименование, характеристика работ</t>
  </si>
  <si>
    <t>Обоснов.</t>
  </si>
  <si>
    <t>Изме-</t>
  </si>
  <si>
    <t>К-во</t>
  </si>
  <si>
    <t>п.п.</t>
  </si>
  <si>
    <t>и расчет стоимости</t>
  </si>
  <si>
    <t>стоимости</t>
  </si>
  <si>
    <t>ритель</t>
  </si>
  <si>
    <t>в рублях</t>
  </si>
  <si>
    <t>СБЦ, М,, 1999 г. (Справочник базовых цен на инженерно-геологические и инженерно-экологические изыскания для строительства)</t>
  </si>
  <si>
    <t xml:space="preserve">       I. Полевые работы</t>
  </si>
  <si>
    <t>1</t>
  </si>
  <si>
    <t>Инженерно-геологическое рекогносцировочное обследование</t>
  </si>
  <si>
    <t xml:space="preserve">т.9 §1          </t>
  </si>
  <si>
    <t>2</t>
  </si>
  <si>
    <t>Плановая и высотная привязка при расстоянии между геологическими выработками " 200 "350 м, II категория сложности</t>
  </si>
  <si>
    <t>т.93 §4</t>
  </si>
  <si>
    <t>1 выработка (точка)</t>
  </si>
  <si>
    <t>3</t>
  </si>
  <si>
    <t xml:space="preserve">Колонковое бурение скважины диаметром до 160 мм, глубиной до 15м
</t>
  </si>
  <si>
    <t>II категории</t>
  </si>
  <si>
    <t>т.17 §1 
к=0,9 прим.</t>
  </si>
  <si>
    <t>III категории</t>
  </si>
  <si>
    <t>4</t>
  </si>
  <si>
    <t xml:space="preserve">Крепление скважины при бурении диаметром, мм: до 160
</t>
  </si>
  <si>
    <t>т.18 §4</t>
  </si>
  <si>
    <t>5</t>
  </si>
  <si>
    <t>Гидрогеологические наблюдения при бурении скважины диаметром, мм: до 160</t>
  </si>
  <si>
    <t>т.18 §1</t>
  </si>
  <si>
    <t>6</t>
  </si>
  <si>
    <t>Отбор монолитов из буровых скважин с гл. до 10м</t>
  </si>
  <si>
    <t>т.57 §.1</t>
  </si>
  <si>
    <t>1 мон</t>
  </si>
  <si>
    <t>II. Прочие расходы</t>
  </si>
  <si>
    <t>7</t>
  </si>
  <si>
    <t xml:space="preserve">Расходы по внутреннему транспорту </t>
  </si>
  <si>
    <t>т.4 §2</t>
  </si>
  <si>
    <t>8</t>
  </si>
  <si>
    <t xml:space="preserve">Организация и ликвидация работ </t>
  </si>
  <si>
    <t>п.13 ОУ</t>
  </si>
  <si>
    <t>к=2,5 прим.1</t>
  </si>
  <si>
    <t>Итого прочих расходов:</t>
  </si>
  <si>
    <t>III. Лабораторные работы</t>
  </si>
  <si>
    <t>9</t>
  </si>
  <si>
    <t>Полный комплекс определений физических свойств для грунтов с включениями частиц диаметром более 1 мм (свыше 10 %):   глинистых</t>
  </si>
  <si>
    <t>т.63 §8</t>
  </si>
  <si>
    <t>1 обр.</t>
  </si>
  <si>
    <t>10</t>
  </si>
  <si>
    <t>Коррозийная активность грунтов к стали</t>
  </si>
  <si>
    <t>т.75 §4</t>
  </si>
  <si>
    <t>11</t>
  </si>
  <si>
    <t>Коррозионная активность грунтовых и других вод по отношению к стали</t>
  </si>
  <si>
    <t>т.75 §9</t>
  </si>
  <si>
    <t>Коррозионная активность грунтов и грунтовых вод по отношению к бетону</t>
  </si>
  <si>
    <t>т.75 §5</t>
  </si>
  <si>
    <t>13</t>
  </si>
  <si>
    <t>Стандартный (типовой) анализ воды</t>
  </si>
  <si>
    <t>т.73 §2</t>
  </si>
  <si>
    <t>Итого лабораторных работ:</t>
  </si>
  <si>
    <t>IV. Камеральные работы</t>
  </si>
  <si>
    <t>14</t>
  </si>
  <si>
    <t>15</t>
  </si>
  <si>
    <t>т. 86  §1</t>
  </si>
  <si>
    <t>т.86 § 8</t>
  </si>
  <si>
    <t>17</t>
  </si>
  <si>
    <t>Составление технического отчета, % от ст-ти камеральных работ</t>
  </si>
  <si>
    <t>т. 87 § 1</t>
  </si>
  <si>
    <t>18</t>
  </si>
  <si>
    <t>Составление программы производства работ</t>
  </si>
  <si>
    <t>т.81 §1</t>
  </si>
  <si>
    <t>1 пр-ма</t>
  </si>
  <si>
    <t xml:space="preserve">Итого камеральных работ </t>
  </si>
  <si>
    <t xml:space="preserve">п.8е, п.8д ОУ </t>
  </si>
  <si>
    <t xml:space="preserve">Итого с учетом индекса изменения стоимости к уровню базовых цен по состоянию на 01.01.1991 г. </t>
  </si>
  <si>
    <t xml:space="preserve">Итого                                           </t>
  </si>
  <si>
    <t xml:space="preserve">Рекогносцировочное обследование  I категории сложности
</t>
  </si>
  <si>
    <t>т.43 §1</t>
  </si>
  <si>
    <t>т.48 §15</t>
  </si>
  <si>
    <t xml:space="preserve">Установление высот высоких уровней воды прошлых лет при удалении найденных точек от оси морфоствора 1 км I категории сложности 
</t>
  </si>
  <si>
    <t>т.25 §1</t>
  </si>
  <si>
    <t>1 комплекс</t>
  </si>
  <si>
    <t xml:space="preserve">Проложение привязочного хода технического нивелирования I категории сложности </t>
  </si>
  <si>
    <t>т.35 §3</t>
  </si>
  <si>
    <t>Промеры глубин по готовому створу при ширине реки до 20 м</t>
  </si>
  <si>
    <t>т.48 §3</t>
  </si>
  <si>
    <t>т.48 §2</t>
  </si>
  <si>
    <t>Разбивка и нивелирование морфометрического створа</t>
  </si>
  <si>
    <t>т.24 §1</t>
  </si>
  <si>
    <t>1 км створа</t>
  </si>
  <si>
    <t xml:space="preserve">Определение мгновенного уклона поверхности воды </t>
  </si>
  <si>
    <t>т.26 §1</t>
  </si>
  <si>
    <t>III Камеральные работы</t>
  </si>
  <si>
    <t xml:space="preserve">Рекогносцировочное обследование I категории сложности
</t>
  </si>
  <si>
    <t>Систематизация собранных фондовых материалов гидрологических наблюдений</t>
  </si>
  <si>
    <t>т. 50 § 1</t>
  </si>
  <si>
    <t>1 годопункт</t>
  </si>
  <si>
    <t xml:space="preserve">Систематизация собранных материалов и данных метеорологических наблюдений: 
Температура воздуха, средняя месячная;
Влажность воздуха, средняя месячная; 
Ветер, месячные данные;
Осадки, месячные данные;
Снежный покров (декадные данные), 
Температура почвы (с глубиной промерзания или оттаивания), среднемесячные данные;
Радиационный баланс (средние месячные составляющие);
Загрязнение атмосферы (средние месячные данные).
</t>
  </si>
  <si>
    <t>т.67 § 3, 6, 9, 12, 14, 18, 22, 23</t>
  </si>
  <si>
    <t>1 годостанция</t>
  </si>
  <si>
    <t>Производство метеорологических расчетов: 
Длительность действия ветра со скоростью от 10 м/с и более;
Число переходов, температуры воздуха через 0° С;
Продолжительность выпадения осадков;
Розы сильных ветров (15 м/с и более);
Расчет обеспеченности, повторяемости и продолжительности ветра по градациям скорости и направлений;
Глубина промерзания грунта;
Температура почвы различной обеспеченности;
Определение комплексных характеристик климата.</t>
  </si>
  <si>
    <t>т.68 § 3, 5, 8, 11, 12, 15, 18, 23</t>
  </si>
  <si>
    <t xml:space="preserve">Составление технического отчета, % от ст-ти камеральных работ </t>
  </si>
  <si>
    <t xml:space="preserve">т. 62 §3      </t>
  </si>
  <si>
    <t>Составление программы гидрометеорологических работ</t>
  </si>
  <si>
    <t>т. 53 §1</t>
  </si>
  <si>
    <t xml:space="preserve">табл.3 ОУ </t>
  </si>
  <si>
    <t xml:space="preserve">Итого с учетом индекса изменения стоимости к уровню базовых цен по состоянию на 01.01.1991г.  </t>
  </si>
  <si>
    <t xml:space="preserve"> </t>
  </si>
  <si>
    <t xml:space="preserve"> СМЕТА № 3</t>
  </si>
  <si>
    <t xml:space="preserve"> СМЕТА № 4</t>
  </si>
  <si>
    <t>Итого с районным коэффициентом: к=1,1</t>
  </si>
  <si>
    <t xml:space="preserve">на выполнение инженерно-геологических изысканий </t>
  </si>
  <si>
    <t>определение солей тяжелых металлов (6 металлов)</t>
  </si>
  <si>
    <t>2*530</t>
  </si>
  <si>
    <t>га</t>
  </si>
  <si>
    <t>справочник базовых цен, 2004
№№ табл. 9 и §4 прим. 4, к-1,55 табл. 10 к-1,2 п. 15-е,д к-1,1, к-1,55
к-1,15 п.8 д,е общ.ук.</t>
  </si>
  <si>
    <t>Итого с районным коэффициентом: к=1,15</t>
  </si>
  <si>
    <t>Итого с коэффициентом: к=1,15</t>
  </si>
  <si>
    <t>Итого с учетом районного коэффициента 1,15</t>
  </si>
  <si>
    <t>Всего с РК  1,15</t>
  </si>
  <si>
    <t>Стоимость,  руб.</t>
  </si>
  <si>
    <t>СМЕТА №5</t>
  </si>
  <si>
    <t xml:space="preserve"> СМЕТА №6</t>
  </si>
  <si>
    <t>(2+(28*0,5))*930</t>
  </si>
  <si>
    <t>на проектные (изыскательские) работы</t>
  </si>
  <si>
    <t>Наименование предприятия, здания, сооружения, стадии проектирования, этапа, вида проектных или изыскательских работ</t>
  </si>
  <si>
    <t>Наименование проектной (изыскательской) организации</t>
  </si>
  <si>
    <t>Наименование организации заказчика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</si>
  <si>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</si>
  <si>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</si>
  <si>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</si>
  <si>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</si>
  <si>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/>
  </si>
  <si>
    <t>Коэффициенты</t>
  </si>
  <si>
    <t>Стадия: Проектная документация</t>
  </si>
  <si>
    <t>Кст = 0.4</t>
  </si>
  <si>
    <t>Коэфф.перехода в тек.цены</t>
  </si>
  <si>
    <t>Базовая цена проектирования газопроводов диаметром менее 100 мм определяется с коэффициентом</t>
  </si>
  <si>
    <t>K1 = 0.9
Глава 2, п.2.2.13 (Ценообразующий)</t>
  </si>
  <si>
    <t>Ограждение ГРП шкафного типа</t>
  </si>
  <si>
    <t>Крепление ГРП шкафного типа</t>
  </si>
  <si>
    <t>Молниезащита ГРП</t>
  </si>
  <si>
    <t>Охрана окружающей среды.</t>
  </si>
  <si>
    <t>Разработка раздела "ИТМ ГОЧС"</t>
  </si>
  <si>
    <t>Коэффициент, учитывающий суммарное количество источников возможных ЧС (природных и техногенных) - 10 и более (Кис)</t>
  </si>
  <si>
    <t>K1 = 1.4
гл.1, таб.1 (Ценообразующий)</t>
  </si>
  <si>
    <t>Коэффициент сложности для потенциально опасных объектов, гидротехнических сооружений, объектов воздушного, морского и речного транспорта(минимальный) (Ксл)</t>
  </si>
  <si>
    <t>K2 = 1.6
гл.1, прим. к таб.2 (Ценообразующий)</t>
  </si>
  <si>
    <t>Коэффициент, учитывающий однотипность решений по предупреждению ЧС для различных источников ЧС с одинаковыми поражающими факторами, для количества источников ЧС с одинаковыми поражающими факторами - 6 (Кпф)</t>
  </si>
  <si>
    <t>K3 = 0.74
гл.1, таб.4 (Ценообразующий)</t>
  </si>
  <si>
    <t>Итого по смете:</t>
  </si>
  <si>
    <t>НДС</t>
  </si>
  <si>
    <t>Всего по смете:</t>
  </si>
  <si>
    <t>Стадия: Рабочая документация</t>
  </si>
  <si>
    <t>Кст = 0.6</t>
  </si>
  <si>
    <t>Смета № 7</t>
  </si>
  <si>
    <t>Смета № 8</t>
  </si>
  <si>
    <t>Рабочая документация</t>
  </si>
  <si>
    <t>Проектная документация</t>
  </si>
  <si>
    <t>Создание инженерно-топографического плана М 1:500 2-й кат. сложности Застроенная территория</t>
  </si>
  <si>
    <t xml:space="preserve">Научно - исследовательские археологические работы в виде историко-культурного научного археологического 
обследования с целью проведения государственной историко - культурной экспертизы </t>
  </si>
  <si>
    <t xml:space="preserve">Наименование проектной (изыскательской) организации:  </t>
  </si>
  <si>
    <t>А=1496,98 тыс.руб</t>
  </si>
  <si>
    <t>В= 71,28 тыс. руб.</t>
  </si>
  <si>
    <t>«Адепт: Проект в 14.9»
© ООО «Адепт»</t>
  </si>
  <si>
    <t>Гидравлический расчет. Количество потребителей - 30.</t>
  </si>
  <si>
    <t>Проектирование ограждения для ШРП</t>
  </si>
  <si>
    <t>K1 = 0.09
Глава 2, п.2.1.3 (Составной)</t>
  </si>
  <si>
    <t>Проектирование крепления ШРП</t>
  </si>
  <si>
    <t>K1 = 0.08
Глава 2, п.2.1.3 (Составной)</t>
  </si>
  <si>
    <t>Инженерно-технические мероприятия гражданской обороны. Мероприятия по предупреждению чрезвычайных ситуаций. Защитные сооружения гражданской обороны и другие специальные сооружения. 2006 г. Глава 1. Инженерно-технические мероприятия гражданской обороны. Мероприятия по предупреждению черезвычайных ситуаций проектов строительства объектов без защитных сооружений гражданской обороны и других специальных сооружений, п.1
A=30.5 тыс.руб; 
Количество = 1 (1 объект)</t>
  </si>
  <si>
    <t>Кст = 1</t>
  </si>
  <si>
    <t>Районный коэффициент на заработную плату</t>
  </si>
  <si>
    <t>на  инженерно-гидрометеорологические изыскания</t>
  </si>
  <si>
    <t>(1496,98+71,28*149)*0,08*0,3</t>
  </si>
  <si>
    <t xml:space="preserve">форма №2П
</t>
  </si>
  <si>
    <t>Газооборудование и газоснабжение промышленных предприятий, зданий и сооружений. 2015 г. Таблица 18. Схемы газоснабжения промышленных узлов и коммунально-бытовых потребителей, п.4
A=45.745 тыс.руб; B=0.139 тыс.руб;
Xмин=200; 
Осн. показ. Х=30 (потребитель) 
Количество = 1</t>
  </si>
  <si>
    <t>К'пон = Xзад / (0.5 * Xмин)</t>
  </si>
  <si>
    <t>K1 = 0.7
понижающий коэффициент, учитывающий разницу в трудоемкости работ по проектируемому объекту и объекту аналогу (Ценообразующий)</t>
  </si>
  <si>
    <t>Переход газопровода через автомобильные дороги - 1 шт.</t>
  </si>
  <si>
    <t>Газооборудование и газоснабжение промышленных предприятий, зданий и сооружений. 2015 г. Таблица 8. Закрытая прокладка футляров для газопроводов, п.3
A=40.828 тыс.руб; 
Количество = 1 (объект,  до 100 п.м.)</t>
  </si>
  <si>
    <t>Переход газопровода через водные преграды  - 1 шт.</t>
  </si>
  <si>
    <t>Газорегуляторный пункт шкафного типа (ШРП) привязка - 2 шт.</t>
  </si>
  <si>
    <t>Газооборудование и газоснабжение промышленных предприятий, зданий и сооружений. 2015 г. Таблица 1. Внутренние и наружные устройства газоснабжения зданий и сооружений, п.13
A=11.768 тыс.руб; 
Количество = 2 (1 ШРП)</t>
  </si>
  <si>
    <t>Газооборудование и газоснабжение промышленных предприятий, зданий и сооружений. 2015 г. Таблица 1. Внутренние и наружные устройства газоснабжения зданий и сооружений, п.14
A=144.911 тыс.руб; 
Количество = 2 (объект, до 50 мм)</t>
  </si>
  <si>
    <t>Газооборудование и газоснабжение промышленных предприятий, зданий и сооружений. 2015 г. Таблица 19. Электроснабжение и молниезащита, п.4
A=20.435 тыс.руб; 
Количество = 2 (объект)</t>
  </si>
  <si>
    <t>15% от п.14</t>
  </si>
  <si>
    <t>Сумма от п.14 - 15</t>
  </si>
  <si>
    <t>20% от п.16</t>
  </si>
  <si>
    <t xml:space="preserve">Схема газоснабжения д. Березкино Томского района Томской области. </t>
  </si>
  <si>
    <t>Итого с к=6,11</t>
  </si>
  <si>
    <t>(1496,98+71,28*105,5)*0,08*0,4</t>
  </si>
  <si>
    <t>к=6,11</t>
  </si>
  <si>
    <t>Схема газоснабжения д. Березкино Томского района Томской области. Проектная документация.</t>
  </si>
  <si>
    <t>Сметный расчет составлен в ценах III кв. 2024 г.</t>
  </si>
  <si>
    <t>(A + B * (0.4 * Xмин + 0.6 * (Xмин / 2))) * Количество * Кст * Ктек * K1
(45745 руб + 139 руб * (0.4 * 200 + 0.6 * 200 / 2)) * 1 * 0.4 * 6,1 * 0.7</t>
  </si>
  <si>
    <t>Ктек = 6,1</t>
  </si>
  <si>
    <t>Распределительные сети высокого давления 2 категории Р до 0,6 МПа, - 12,29 км.</t>
  </si>
  <si>
    <t>Газооборудование и газоснабжение промышленных предприятий, зданий и сооружений. 2015 г. Таблица 7. Сети газоснабжения, п.7
A=154.775 тыс.руб; B=21.429 тыс.руб;
Осн. показ. Х=12,29 (км) 
Количество = 1</t>
  </si>
  <si>
    <t>(A + B * Xзад) * Количество * Кст * Ктек
(154775 руб + 21429 руб * 12,29) * 1 * 0.4 * 6,1</t>
  </si>
  <si>
    <t>Распределительные сети низкого давления Р до 0,003 МПа - 7,35 км.</t>
  </si>
  <si>
    <t>Газооборудование и газоснабжение промышленных предприятий, зданий и сооружений. 2015 г. Таблица 7. Сети газоснабжения, п.6
A=114,205 тыс.руб; B=25,486 тыс.руб;
Осн. показ. Х=7,35(км) 
Количество = 1</t>
  </si>
  <si>
    <t>(A + B * Xзад) * Количество * Кст * Ктек
(114205 руб + 25486 руб * 7,35) * 1 * 0.4 * 6,1</t>
  </si>
  <si>
    <t>Подземные низкого давления. Протяженностью 3,5 км (диаметр газопровода менее 100 мм)</t>
  </si>
  <si>
    <t>Газооборудование и газоснабжение промышленных предприятий, зданий и сооружений. 2015 г. Таблица 7. Сети газоснабжения, п.5
A=101.469 тыс.руб; B=28.670 тыс.руб;
Осн. показ. Х=3,5 (км) 
Количество = 1</t>
  </si>
  <si>
    <t>(A + B * Xзад) * Количество * Кст * Ктек * K1
(101469 руб + 28670 руб * 3,5) * 1 * 0.4 * 6,1 * 0.9</t>
  </si>
  <si>
    <t>Подземные низкого давления (подводки к домам). Протяженностью 3,24 км (диаметр газопровода менее 100 мм)</t>
  </si>
  <si>
    <t>Газооборудование и газоснабжение промышленных предприятий, зданий и сооружений. 2015 г. Таблица 7. Сети газоснабжения, п.5
A=101.469 тыс.руб; B=28.67 тыс.руб;
Осн. показ. Х=3,24(км) 
Количество = 1</t>
  </si>
  <si>
    <t>(A + B * Xзад) * Количество * Кст * Ктек * K1
(101469 руб + 28670 руб * 3,24) * 1 * 0.4 * 6,1 * 0.9</t>
  </si>
  <si>
    <t>A * Количество * Кст * Ктек
40828 руб * 1 * 0.4 * 6,1</t>
  </si>
  <si>
    <t>A * Количество * Кст * Ктек
11768 руб * 2 * 0.4 * 6,1</t>
  </si>
  <si>
    <t>Ктек =6,1</t>
  </si>
  <si>
    <t>A * Количество * Кст * Ктек * K1
144911 руб * 2 * 0.4 * 6,1 * 0.09</t>
  </si>
  <si>
    <t>A * Количество * Кст * Ктек * K1
144911 руб * 2 * 0.4 * 6,1 * 0.08</t>
  </si>
  <si>
    <t>A * Количество * Кст * Ктек
20435 руб * 2 * 0.4 * 6,1</t>
  </si>
  <si>
    <t>Смета № 1 п.2-11</t>
  </si>
  <si>
    <t>3 102 588: 0,4 * 0,1</t>
  </si>
  <si>
    <t>Полный комплекс работ
(100%):
A * Количество * Кст * Ктек * K1 * K2 * K3
30500 руб * 1 * 1 * 6,1 * 1.4 * 1.6 * 0.74</t>
  </si>
  <si>
    <t>Смета №  8</t>
  </si>
  <si>
    <t>Схема газоснабжения д. Березкино Томского района Томской области. Рабочая документация.</t>
  </si>
  <si>
    <t>(A + B * Xзад) * Количество * Кст * Ктек
(154775 руб + 21429 руб * 12,29) * 1 * 0.6 * 6,1</t>
  </si>
  <si>
    <t>(A + B * Xзад) * Количество * Кст * Ктек
(114205 руб + 25486 руб * 7,35) * 1 * 0.6 * 6,1</t>
  </si>
  <si>
    <t>Стадия:  Рабочая документация</t>
  </si>
  <si>
    <t>(A + B * Xзад) * Количество * Кст * Ктек * K1
(101469 руб + 28670 руб * 3,5) * 1 * 0.6 * 6,1 * 0.9</t>
  </si>
  <si>
    <t>(A + B * Xзад) * Количество * Кст * Ктек * K1
(101469 руб + 28670 руб * 3,24) * 1 * 0.6 * 6,1 * 0.9</t>
  </si>
  <si>
    <t>A * Количество * Кст * Ктек
40828 руб * 1 * 0.6 * 6,1</t>
  </si>
  <si>
    <t>A * Количество * Кст * Ктек
11768 руб * 2 * 0.6 * 6,1</t>
  </si>
  <si>
    <t>A * Количество * Кст * Ктек * K1
144911 руб * 2 * 0.6 * 6,1 * 0.09</t>
  </si>
  <si>
    <t>A * Количество * Кст * Ктек * K1
144911 руб * 2 * 0.6 * 6,1 * 0.08</t>
  </si>
  <si>
    <t>A * Количество * Кст * Ктек
20435 руб * 2 * 0.6 * 6,1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</si>
</sst>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_(&quot;$&quot;* #,##0.00_);_(&quot;$&quot;* \(#,##0.00\);_(&quot;$&quot;* &quot;-&quot;??_);_(@_)"/>
    <numFmt numFmtId="167" formatCode="0.0000"/>
    <numFmt numFmtId="168" formatCode="_-* #,##0.00_р_._-;\-* #,##0.00_р_._-;_-* &quot;-&quot;??_р_._-;_-@_-"/>
    <numFmt numFmtId="169" formatCode="#,##0.0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30"/>
      <name val="Times New Roman"/>
      <family val="1"/>
      <charset val="204"/>
    </font>
    <font>
      <b/>
      <sz val="11"/>
      <color indexed="30"/>
      <name val="Times New Roman"/>
      <family val="1"/>
      <charset val="204"/>
    </font>
    <font>
      <sz val="11"/>
      <color indexed="36"/>
      <name val="Times New Roman"/>
      <family val="1"/>
      <charset val="204"/>
    </font>
    <font>
      <sz val="11"/>
      <color indexed="60"/>
      <name val="Times New Roman"/>
      <family val="1"/>
      <charset val="204"/>
    </font>
    <font>
      <b/>
      <sz val="11"/>
      <color indexed="36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14"/>
      <name val="Arial Narrow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sz val="6"/>
      <name val="Arial"/>
      <family val="2"/>
      <charset val="204"/>
    </font>
    <font>
      <sz val="10"/>
      <color indexed="8"/>
      <name val="Arial"/>
      <family val="2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u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</borders>
  <cellStyleXfs count="20">
    <xf numFmtId="0" fontId="0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17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4" fillId="0" borderId="0"/>
    <xf numFmtId="0" fontId="4" fillId="0" borderId="0"/>
    <xf numFmtId="0" fontId="17" fillId="0" borderId="0"/>
    <xf numFmtId="0" fontId="18" fillId="0" borderId="0"/>
    <xf numFmtId="9" fontId="5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0" fontId="1" fillId="0" borderId="0"/>
  </cellStyleXfs>
  <cellXfs count="504">
    <xf numFmtId="0" fontId="0" fillId="0" borderId="0" xfId="0"/>
    <xf numFmtId="0" fontId="7" fillId="0" borderId="0" xfId="7" applyFont="1"/>
    <xf numFmtId="0" fontId="7" fillId="0" borderId="14" xfId="7" applyFont="1" applyBorder="1" applyAlignment="1">
      <alignment horizontal="center" vertical="center" wrapText="1"/>
    </xf>
    <xf numFmtId="0" fontId="9" fillId="0" borderId="0" xfId="7" applyFont="1" applyAlignment="1">
      <alignment horizontal="center"/>
    </xf>
    <xf numFmtId="0" fontId="10" fillId="0" borderId="0" xfId="7" applyFont="1" applyAlignment="1">
      <alignment horizontal="center" vertical="center" wrapText="1"/>
    </xf>
    <xf numFmtId="4" fontId="11" fillId="0" borderId="0" xfId="7" applyNumberFormat="1" applyFont="1" applyAlignment="1">
      <alignment vertical="center"/>
    </xf>
    <xf numFmtId="0" fontId="11" fillId="0" borderId="0" xfId="7" applyFont="1"/>
    <xf numFmtId="0" fontId="12" fillId="0" borderId="0" xfId="7" applyFont="1"/>
    <xf numFmtId="4" fontId="11" fillId="0" borderId="0" xfId="7" applyNumberFormat="1" applyFont="1"/>
    <xf numFmtId="0" fontId="7" fillId="0" borderId="14" xfId="7" applyFont="1" applyBorder="1" applyAlignment="1">
      <alignment horizontal="center" vertical="top"/>
    </xf>
    <xf numFmtId="0" fontId="8" fillId="0" borderId="14" xfId="7" applyFont="1" applyBorder="1" applyAlignment="1">
      <alignment horizontal="center" vertical="top"/>
    </xf>
    <xf numFmtId="0" fontId="13" fillId="0" borderId="0" xfId="7" applyFont="1" applyBorder="1" applyAlignment="1">
      <alignment vertical="top" wrapText="1"/>
    </xf>
    <xf numFmtId="0" fontId="7" fillId="0" borderId="0" xfId="7" applyFont="1" applyBorder="1" applyAlignment="1">
      <alignment vertical="top" wrapText="1"/>
    </xf>
    <xf numFmtId="0" fontId="8" fillId="0" borderId="0" xfId="7" applyFont="1" applyBorder="1" applyAlignment="1">
      <alignment horizontal="right" vertical="top" wrapText="1"/>
    </xf>
    <xf numFmtId="0" fontId="7" fillId="0" borderId="0" xfId="7" applyFont="1" applyAlignment="1">
      <alignment vertical="top"/>
    </xf>
    <xf numFmtId="0" fontId="8" fillId="0" borderId="0" xfId="7" applyFont="1"/>
    <xf numFmtId="0" fontId="8" fillId="0" borderId="17" xfId="7" applyFont="1" applyBorder="1" applyAlignment="1">
      <alignment wrapText="1"/>
    </xf>
    <xf numFmtId="0" fontId="8" fillId="0" borderId="0" xfId="7" applyFont="1" applyBorder="1"/>
    <xf numFmtId="4" fontId="11" fillId="0" borderId="0" xfId="7" applyNumberFormat="1" applyFont="1" applyFill="1" applyAlignment="1">
      <alignment horizontal="center"/>
    </xf>
    <xf numFmtId="0" fontId="11" fillId="0" borderId="0" xfId="7" applyFont="1" applyFill="1"/>
    <xf numFmtId="0" fontId="7" fillId="0" borderId="0" xfId="7" applyFont="1" applyFill="1"/>
    <xf numFmtId="165" fontId="7" fillId="0" borderId="0" xfId="16" applyNumberFormat="1" applyFont="1" applyFill="1" applyAlignment="1">
      <alignment horizontal="left"/>
    </xf>
    <xf numFmtId="0" fontId="7" fillId="0" borderId="0" xfId="7" applyFont="1" applyAlignment="1">
      <alignment horizontal="left"/>
    </xf>
    <xf numFmtId="0" fontId="4" fillId="0" borderId="0" xfId="7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3" fontId="14" fillId="0" borderId="14" xfId="0" applyNumberFormat="1" applyFont="1" applyBorder="1"/>
    <xf numFmtId="0" fontId="3" fillId="0" borderId="0" xfId="0" applyNumberFormat="1" applyFont="1" applyAlignment="1"/>
    <xf numFmtId="0" fontId="3" fillId="0" borderId="0" xfId="0" applyNumberFormat="1" applyFont="1" applyAlignment="1">
      <alignment horizontal="left" wrapText="1"/>
    </xf>
    <xf numFmtId="4" fontId="3" fillId="0" borderId="0" xfId="0" applyNumberFormat="1" applyFont="1"/>
    <xf numFmtId="0" fontId="16" fillId="0" borderId="0" xfId="0" applyFont="1"/>
    <xf numFmtId="4" fontId="13" fillId="0" borderId="0" xfId="7" applyNumberFormat="1" applyFont="1" applyBorder="1" applyAlignment="1">
      <alignment vertical="top" wrapText="1"/>
    </xf>
    <xf numFmtId="0" fontId="7" fillId="0" borderId="13" xfId="7" applyFont="1" applyBorder="1" applyAlignment="1">
      <alignment horizontal="left" vertical="top" wrapText="1"/>
    </xf>
    <xf numFmtId="0" fontId="7" fillId="0" borderId="14" xfId="7" applyFont="1" applyBorder="1" applyAlignment="1">
      <alignment horizontal="left" vertical="top" wrapText="1"/>
    </xf>
    <xf numFmtId="0" fontId="7" fillId="0" borderId="14" xfId="7" applyFont="1" applyBorder="1" applyAlignment="1">
      <alignment horizontal="center" vertical="top" wrapText="1"/>
    </xf>
    <xf numFmtId="0" fontId="8" fillId="0" borderId="14" xfId="7" applyFont="1" applyBorder="1" applyAlignment="1">
      <alignment horizontal="center" vertical="center" wrapText="1"/>
    </xf>
    <xf numFmtId="3" fontId="9" fillId="0" borderId="0" xfId="7" applyNumberFormat="1" applyFont="1" applyAlignment="1">
      <alignment horizontal="center"/>
    </xf>
    <xf numFmtId="0" fontId="0" fillId="0" borderId="0" xfId="0" applyFont="1"/>
    <xf numFmtId="0" fontId="19" fillId="0" borderId="10" xfId="9" applyFont="1" applyBorder="1" applyAlignment="1">
      <alignment horizontal="center" vertical="center" wrapText="1"/>
    </xf>
    <xf numFmtId="0" fontId="20" fillId="0" borderId="0" xfId="9" applyFont="1"/>
    <xf numFmtId="0" fontId="19" fillId="0" borderId="7" xfId="9" applyFont="1" applyBorder="1" applyAlignment="1">
      <alignment horizontal="center" vertical="center" wrapText="1"/>
    </xf>
    <xf numFmtId="0" fontId="6" fillId="0" borderId="13" xfId="9" applyFont="1" applyBorder="1" applyAlignment="1">
      <alignment horizontal="center" wrapText="1"/>
    </xf>
    <xf numFmtId="0" fontId="3" fillId="0" borderId="9" xfId="9" applyFont="1" applyFill="1" applyBorder="1" applyAlignment="1">
      <alignment horizontal="center" vertical="center" wrapText="1"/>
    </xf>
    <xf numFmtId="0" fontId="6" fillId="0" borderId="17" xfId="9" applyFont="1" applyBorder="1" applyAlignment="1">
      <alignment horizontal="center" vertical="center" wrapText="1"/>
    </xf>
    <xf numFmtId="164" fontId="6" fillId="0" borderId="17" xfId="9" applyNumberFormat="1" applyFont="1" applyBorder="1" applyAlignment="1">
      <alignment horizontal="center" vertical="center" wrapText="1"/>
    </xf>
    <xf numFmtId="0" fontId="6" fillId="0" borderId="11" xfId="9" applyFont="1" applyBorder="1" applyAlignment="1">
      <alignment horizontal="center" vertical="center" wrapText="1"/>
    </xf>
    <xf numFmtId="3" fontId="6" fillId="0" borderId="11" xfId="9" applyNumberFormat="1" applyFont="1" applyBorder="1" applyAlignment="1">
      <alignment horizontal="center" vertical="center" wrapText="1"/>
    </xf>
    <xf numFmtId="0" fontId="3" fillId="0" borderId="3" xfId="9" applyFont="1" applyFill="1" applyBorder="1" applyAlignment="1">
      <alignment horizontal="center" vertical="center" wrapText="1"/>
    </xf>
    <xf numFmtId="0" fontId="6" fillId="0" borderId="0" xfId="9" applyFont="1" applyBorder="1" applyAlignment="1">
      <alignment horizontal="center" vertical="center" wrapText="1"/>
    </xf>
    <xf numFmtId="164" fontId="6" fillId="0" borderId="0" xfId="9" applyNumberFormat="1" applyFont="1" applyBorder="1" applyAlignment="1">
      <alignment horizontal="center" vertical="center" wrapText="1"/>
    </xf>
    <xf numFmtId="0" fontId="6" fillId="0" borderId="5" xfId="9" applyFont="1" applyBorder="1" applyAlignment="1">
      <alignment horizontal="center" vertical="center" wrapText="1"/>
    </xf>
    <xf numFmtId="3" fontId="6" fillId="0" borderId="5" xfId="9" applyNumberFormat="1" applyFont="1" applyBorder="1" applyAlignment="1">
      <alignment horizontal="center" vertical="center" wrapText="1"/>
    </xf>
    <xf numFmtId="0" fontId="3" fillId="0" borderId="6" xfId="9" applyFont="1" applyFill="1" applyBorder="1" applyAlignment="1">
      <alignment horizontal="center" vertical="center" wrapText="1"/>
    </xf>
    <xf numFmtId="0" fontId="6" fillId="0" borderId="16" xfId="9" applyFont="1" applyBorder="1" applyAlignment="1">
      <alignment horizontal="center" vertical="center" wrapText="1"/>
    </xf>
    <xf numFmtId="164" fontId="6" fillId="0" borderId="16" xfId="9" applyNumberFormat="1" applyFont="1" applyBorder="1" applyAlignment="1">
      <alignment horizontal="center" vertical="center" wrapText="1"/>
    </xf>
    <xf numFmtId="0" fontId="6" fillId="0" borderId="8" xfId="9" applyFont="1" applyBorder="1" applyAlignment="1">
      <alignment horizontal="center" vertical="center" wrapText="1"/>
    </xf>
    <xf numFmtId="3" fontId="6" fillId="0" borderId="8" xfId="9" applyNumberFormat="1" applyFont="1" applyBorder="1" applyAlignment="1">
      <alignment horizontal="center" vertical="center" wrapText="1"/>
    </xf>
    <xf numFmtId="0" fontId="19" fillId="0" borderId="12" xfId="9" applyFont="1" applyBorder="1" applyAlignment="1">
      <alignment horizontal="left" vertical="center" wrapText="1"/>
    </xf>
    <xf numFmtId="3" fontId="19" fillId="0" borderId="15" xfId="9" applyNumberFormat="1" applyFont="1" applyBorder="1" applyAlignment="1">
      <alignment horizontal="center" vertical="center" wrapText="1"/>
    </xf>
    <xf numFmtId="0" fontId="6" fillId="0" borderId="12" xfId="9" applyFont="1" applyFill="1" applyBorder="1" applyAlignment="1">
      <alignment horizontal="left" vertical="center" wrapText="1"/>
    </xf>
    <xf numFmtId="0" fontId="6" fillId="0" borderId="14" xfId="9" applyFont="1" applyBorder="1" applyAlignment="1">
      <alignment horizontal="center" vertical="center" wrapText="1"/>
    </xf>
    <xf numFmtId="0" fontId="6" fillId="0" borderId="12" xfId="9" applyFont="1" applyBorder="1" applyAlignment="1">
      <alignment horizontal="center" vertical="center" wrapText="1"/>
    </xf>
    <xf numFmtId="2" fontId="6" fillId="0" borderId="12" xfId="9" applyNumberFormat="1" applyFont="1" applyBorder="1" applyAlignment="1">
      <alignment horizontal="center" vertical="center" wrapText="1"/>
    </xf>
    <xf numFmtId="167" fontId="6" fillId="0" borderId="12" xfId="9" applyNumberFormat="1" applyFont="1" applyBorder="1" applyAlignment="1">
      <alignment horizontal="center" vertical="center" wrapText="1"/>
    </xf>
    <xf numFmtId="164" fontId="6" fillId="0" borderId="12" xfId="9" applyNumberFormat="1" applyFont="1" applyBorder="1" applyAlignment="1">
      <alignment horizontal="center" vertical="center" wrapText="1"/>
    </xf>
    <xf numFmtId="3" fontId="6" fillId="0" borderId="14" xfId="9" applyNumberFormat="1" applyFont="1" applyFill="1" applyBorder="1" applyAlignment="1">
      <alignment horizontal="center" vertical="center" wrapText="1"/>
    </xf>
    <xf numFmtId="0" fontId="6" fillId="0" borderId="14" xfId="9" applyFont="1" applyFill="1" applyBorder="1" applyAlignment="1">
      <alignment horizontal="center" vertical="center" wrapText="1"/>
    </xf>
    <xf numFmtId="3" fontId="6" fillId="0" borderId="15" xfId="9" applyNumberFormat="1" applyFont="1" applyFill="1" applyBorder="1" applyAlignment="1">
      <alignment horizontal="center" vertical="center" wrapText="1"/>
    </xf>
    <xf numFmtId="0" fontId="6" fillId="0" borderId="14" xfId="9" applyFont="1" applyBorder="1" applyAlignment="1">
      <alignment horizontal="left" vertical="center" wrapText="1"/>
    </xf>
    <xf numFmtId="0" fontId="3" fillId="0" borderId="14" xfId="9" applyFont="1" applyFill="1" applyBorder="1" applyAlignment="1">
      <alignment horizontal="center" vertical="center" wrapText="1"/>
    </xf>
    <xf numFmtId="0" fontId="3" fillId="0" borderId="12" xfId="9" applyFont="1" applyFill="1" applyBorder="1" applyAlignment="1">
      <alignment horizontal="center" vertical="center" wrapText="1"/>
    </xf>
    <xf numFmtId="0" fontId="21" fillId="0" borderId="0" xfId="9" applyFont="1"/>
    <xf numFmtId="0" fontId="19" fillId="0" borderId="0" xfId="9" applyFont="1"/>
    <xf numFmtId="0" fontId="19" fillId="0" borderId="0" xfId="9" applyFont="1" applyAlignment="1">
      <alignment horizontal="center" vertical="center" wrapText="1"/>
    </xf>
    <xf numFmtId="0" fontId="22" fillId="0" borderId="0" xfId="9" applyFont="1"/>
    <xf numFmtId="0" fontId="6" fillId="0" borderId="0" xfId="9" applyFont="1" applyAlignment="1"/>
    <xf numFmtId="0" fontId="20" fillId="0" borderId="0" xfId="9" applyFont="1" applyAlignment="1"/>
    <xf numFmtId="0" fontId="6" fillId="0" borderId="0" xfId="9" applyFont="1"/>
    <xf numFmtId="0" fontId="6" fillId="0" borderId="0" xfId="9" applyFont="1" applyAlignment="1">
      <alignment horizontal="center" vertical="center" wrapText="1"/>
    </xf>
    <xf numFmtId="0" fontId="6" fillId="0" borderId="0" xfId="9" applyFont="1" applyAlignment="1">
      <alignment horizontal="right"/>
    </xf>
    <xf numFmtId="0" fontId="21" fillId="0" borderId="0" xfId="9" applyFont="1" applyAlignment="1"/>
    <xf numFmtId="0" fontId="20" fillId="0" borderId="0" xfId="9" applyFont="1" applyAlignment="1">
      <alignment wrapText="1"/>
    </xf>
    <xf numFmtId="0" fontId="21" fillId="0" borderId="0" xfId="9" applyFont="1" applyAlignment="1">
      <alignment horizontal="center" vertical="center" wrapText="1"/>
    </xf>
    <xf numFmtId="0" fontId="20" fillId="0" borderId="0" xfId="9" applyFont="1" applyAlignment="1">
      <alignment horizontal="center" vertical="center" wrapText="1"/>
    </xf>
    <xf numFmtId="0" fontId="6" fillId="0" borderId="13" xfId="9" applyFont="1" applyBorder="1" applyAlignment="1">
      <alignment horizontal="center" vertical="center" wrapText="1"/>
    </xf>
    <xf numFmtId="0" fontId="19" fillId="0" borderId="14" xfId="9" applyFont="1" applyBorder="1" applyAlignment="1">
      <alignment horizontal="center" vertical="center" wrapText="1"/>
    </xf>
    <xf numFmtId="0" fontId="3" fillId="0" borderId="0" xfId="11" applyFont="1" applyBorder="1" applyAlignment="1">
      <alignment horizontal="center"/>
    </xf>
    <xf numFmtId="0" fontId="3" fillId="0" borderId="7" xfId="11" applyFont="1" applyBorder="1" applyAlignment="1">
      <alignment horizontal="center"/>
    </xf>
    <xf numFmtId="0" fontId="3" fillId="0" borderId="7" xfId="11" applyFont="1" applyBorder="1" applyAlignment="1">
      <alignment horizontal="center" vertical="top"/>
    </xf>
    <xf numFmtId="49" fontId="3" fillId="0" borderId="14" xfId="11" applyNumberFormat="1" applyFont="1" applyBorder="1" applyAlignment="1">
      <alignment horizontal="center" vertical="top"/>
    </xf>
    <xf numFmtId="0" fontId="3" fillId="0" borderId="14" xfId="11" applyFont="1" applyBorder="1" applyAlignment="1">
      <alignment vertical="top" wrapText="1"/>
    </xf>
    <xf numFmtId="0" fontId="3" fillId="0" borderId="14" xfId="11" applyFont="1" applyBorder="1" applyAlignment="1">
      <alignment horizontal="center" vertical="top" wrapText="1"/>
    </xf>
    <xf numFmtId="0" fontId="3" fillId="0" borderId="14" xfId="11" applyFont="1" applyBorder="1" applyAlignment="1">
      <alignment horizontal="center" vertical="top"/>
    </xf>
    <xf numFmtId="1" fontId="3" fillId="0" borderId="14" xfId="11" applyNumberFormat="1" applyFont="1" applyBorder="1" applyAlignment="1">
      <alignment horizontal="center" vertical="top"/>
    </xf>
    <xf numFmtId="49" fontId="3" fillId="0" borderId="14" xfId="11" applyNumberFormat="1" applyFont="1" applyFill="1" applyBorder="1" applyAlignment="1">
      <alignment horizontal="center" vertical="top"/>
    </xf>
    <xf numFmtId="0" fontId="23" fillId="0" borderId="14" xfId="11" applyFont="1" applyBorder="1" applyAlignment="1">
      <alignment horizontal="center" vertical="top" wrapText="1"/>
    </xf>
    <xf numFmtId="0" fontId="23" fillId="0" borderId="14" xfId="11" applyFont="1" applyBorder="1" applyAlignment="1">
      <alignment horizontal="center" vertical="top"/>
    </xf>
    <xf numFmtId="0" fontId="3" fillId="0" borderId="4" xfId="11" applyFont="1" applyBorder="1" applyAlignment="1">
      <alignment horizontal="center" vertical="top"/>
    </xf>
    <xf numFmtId="49" fontId="23" fillId="0" borderId="14" xfId="11" applyNumberFormat="1" applyFont="1" applyFill="1" applyBorder="1" applyAlignment="1">
      <alignment horizontal="center" vertical="top"/>
    </xf>
    <xf numFmtId="164" fontId="3" fillId="0" borderId="14" xfId="11" applyNumberFormat="1" applyFont="1" applyBorder="1" applyAlignment="1">
      <alignment horizontal="center" vertical="top"/>
    </xf>
    <xf numFmtId="3" fontId="3" fillId="0" borderId="14" xfId="11" applyNumberFormat="1" applyFont="1" applyBorder="1" applyAlignment="1">
      <alignment horizontal="center" vertical="top"/>
    </xf>
    <xf numFmtId="0" fontId="3" fillId="0" borderId="14" xfId="11" applyFont="1" applyBorder="1" applyAlignment="1">
      <alignment horizontal="left" vertical="top" wrapText="1"/>
    </xf>
    <xf numFmtId="1" fontId="3" fillId="0" borderId="14" xfId="11" applyNumberFormat="1" applyFont="1" applyFill="1" applyBorder="1" applyAlignment="1">
      <alignment horizontal="center" vertical="top"/>
    </xf>
    <xf numFmtId="0" fontId="3" fillId="0" borderId="14" xfId="11" applyFont="1" applyFill="1" applyBorder="1" applyAlignment="1">
      <alignment horizontal="center" vertical="top"/>
    </xf>
    <xf numFmtId="2" fontId="3" fillId="0" borderId="14" xfId="11" applyNumberFormat="1" applyFont="1" applyBorder="1" applyAlignment="1">
      <alignment horizontal="center" vertical="top"/>
    </xf>
    <xf numFmtId="0" fontId="3" fillId="0" borderId="10" xfId="11" applyFont="1" applyBorder="1" applyAlignment="1">
      <alignment horizontal="center"/>
    </xf>
    <xf numFmtId="0" fontId="3" fillId="0" borderId="10" xfId="11" applyFont="1" applyBorder="1" applyAlignment="1">
      <alignment horizontal="center" vertical="top"/>
    </xf>
    <xf numFmtId="0" fontId="3" fillId="0" borderId="14" xfId="11" applyNumberFormat="1" applyFont="1" applyBorder="1" applyAlignment="1">
      <alignment horizontal="center" vertical="top"/>
    </xf>
    <xf numFmtId="9" fontId="3" fillId="0" borderId="14" xfId="11" applyNumberFormat="1" applyFont="1" applyBorder="1" applyAlignment="1">
      <alignment horizontal="center" vertical="top" wrapText="1"/>
    </xf>
    <xf numFmtId="9" fontId="3" fillId="0" borderId="14" xfId="11" applyNumberFormat="1" applyFont="1" applyBorder="1" applyAlignment="1">
      <alignment horizontal="center" vertical="top"/>
    </xf>
    <xf numFmtId="0" fontId="3" fillId="0" borderId="14" xfId="11" applyFont="1" applyBorder="1" applyAlignment="1">
      <alignment horizontal="center" vertical="center" wrapText="1"/>
    </xf>
    <xf numFmtId="3" fontId="14" fillId="0" borderId="14" xfId="11" applyNumberFormat="1" applyFont="1" applyBorder="1" applyAlignment="1">
      <alignment horizontal="center" vertical="center"/>
    </xf>
    <xf numFmtId="0" fontId="3" fillId="0" borderId="14" xfId="11" applyFont="1" applyBorder="1" applyAlignment="1">
      <alignment horizontal="center"/>
    </xf>
    <xf numFmtId="0" fontId="3" fillId="0" borderId="14" xfId="11" applyFont="1" applyBorder="1" applyAlignment="1">
      <alignment horizontal="center" wrapText="1"/>
    </xf>
    <xf numFmtId="9" fontId="3" fillId="0" borderId="14" xfId="11" applyNumberFormat="1" applyFont="1" applyBorder="1" applyAlignment="1">
      <alignment horizontal="center" wrapText="1"/>
    </xf>
    <xf numFmtId="0" fontId="3" fillId="0" borderId="10" xfId="11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/>
    </xf>
    <xf numFmtId="49" fontId="14" fillId="0" borderId="14" xfId="11" applyNumberFormat="1" applyFont="1" applyBorder="1" applyAlignment="1">
      <alignment horizontal="center" vertical="top"/>
    </xf>
    <xf numFmtId="0" fontId="14" fillId="0" borderId="14" xfId="11" applyFont="1" applyBorder="1" applyAlignment="1">
      <alignment horizontal="right" vertical="top" wrapText="1"/>
    </xf>
    <xf numFmtId="3" fontId="14" fillId="0" borderId="14" xfId="11" applyNumberFormat="1" applyFont="1" applyBorder="1" applyAlignment="1">
      <alignment horizontal="center" vertical="top"/>
    </xf>
    <xf numFmtId="49" fontId="14" fillId="0" borderId="14" xfId="11" applyNumberFormat="1" applyFont="1" applyBorder="1" applyAlignment="1">
      <alignment horizontal="center" vertical="center"/>
    </xf>
    <xf numFmtId="0" fontId="14" fillId="0" borderId="14" xfId="11" applyFont="1" applyBorder="1" applyAlignment="1">
      <alignment horizontal="right" vertical="center" wrapText="1"/>
    </xf>
    <xf numFmtId="0" fontId="14" fillId="0" borderId="14" xfId="11" applyFont="1" applyFill="1" applyBorder="1" applyAlignment="1">
      <alignment horizontal="left" vertical="top" wrapText="1"/>
    </xf>
    <xf numFmtId="0" fontId="14" fillId="0" borderId="14" xfId="11" applyFont="1" applyBorder="1" applyAlignment="1">
      <alignment vertical="top" wrapText="1"/>
    </xf>
    <xf numFmtId="0" fontId="14" fillId="0" borderId="14" xfId="11" applyFont="1" applyBorder="1" applyAlignment="1">
      <alignment horizontal="center" vertical="center" wrapText="1"/>
    </xf>
    <xf numFmtId="0" fontId="14" fillId="0" borderId="14" xfId="11" applyFont="1" applyBorder="1" applyAlignment="1">
      <alignment horizontal="justify" vertical="top" wrapText="1"/>
    </xf>
    <xf numFmtId="0" fontId="14" fillId="0" borderId="14" xfId="11" applyFont="1" applyBorder="1" applyAlignment="1">
      <alignment horizontal="center" vertical="top" wrapText="1"/>
    </xf>
    <xf numFmtId="0" fontId="3" fillId="0" borderId="14" xfId="11" applyFont="1" applyBorder="1" applyAlignment="1">
      <alignment horizontal="justify" vertical="top" wrapText="1"/>
    </xf>
    <xf numFmtId="0" fontId="23" fillId="0" borderId="14" xfId="11" applyFont="1" applyBorder="1" applyAlignment="1">
      <alignment horizontal="justify" vertical="top" wrapText="1"/>
    </xf>
    <xf numFmtId="0" fontId="23" fillId="0" borderId="14" xfId="0" applyFont="1" applyBorder="1" applyAlignment="1">
      <alignment horizontal="justify" vertical="top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6" fillId="0" borderId="0" xfId="0" applyFont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6" fillId="0" borderId="7" xfId="0" applyFont="1" applyBorder="1"/>
    <xf numFmtId="0" fontId="3" fillId="2" borderId="14" xfId="0" applyFont="1" applyFill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3" fillId="0" borderId="0" xfId="9" applyFont="1" applyAlignment="1"/>
    <xf numFmtId="0" fontId="23" fillId="0" borderId="0" xfId="9" applyFont="1" applyAlignment="1">
      <alignment wrapText="1"/>
    </xf>
    <xf numFmtId="0" fontId="23" fillId="0" borderId="0" xfId="9" applyFont="1"/>
    <xf numFmtId="0" fontId="23" fillId="0" borderId="0" xfId="9" applyFont="1" applyAlignment="1">
      <alignment horizontal="center" vertical="center" wrapText="1"/>
    </xf>
    <xf numFmtId="0" fontId="26" fillId="0" borderId="13" xfId="0" applyFont="1" applyBorder="1" applyAlignment="1">
      <alignment vertical="center"/>
    </xf>
    <xf numFmtId="0" fontId="26" fillId="0" borderId="15" xfId="0" applyFont="1" applyBorder="1" applyAlignment="1">
      <alignment vertical="center"/>
    </xf>
    <xf numFmtId="2" fontId="14" fillId="0" borderId="14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justify" vertical="center" wrapText="1"/>
    </xf>
    <xf numFmtId="0" fontId="19" fillId="0" borderId="18" xfId="0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top" wrapText="1"/>
    </xf>
    <xf numFmtId="0" fontId="19" fillId="0" borderId="18" xfId="0" applyFont="1" applyFill="1" applyBorder="1" applyAlignment="1">
      <alignment horizontal="center" wrapText="1"/>
    </xf>
    <xf numFmtId="0" fontId="19" fillId="0" borderId="18" xfId="0" applyFont="1" applyFill="1" applyBorder="1" applyAlignment="1">
      <alignment horizontal="center" vertical="center" wrapText="1"/>
    </xf>
    <xf numFmtId="2" fontId="19" fillId="0" borderId="18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center" vertical="center" wrapText="1"/>
    </xf>
    <xf numFmtId="2" fontId="19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top" wrapText="1"/>
    </xf>
    <xf numFmtId="0" fontId="19" fillId="0" borderId="19" xfId="0" applyFont="1" applyFill="1" applyBorder="1" applyAlignment="1">
      <alignment horizontal="left" vertical="top" wrapText="1"/>
    </xf>
    <xf numFmtId="0" fontId="19" fillId="0" borderId="14" xfId="0" applyFont="1" applyFill="1" applyBorder="1" applyAlignment="1">
      <alignment horizontal="center" vertical="center" wrapText="1"/>
    </xf>
    <xf numFmtId="2" fontId="19" fillId="0" borderId="14" xfId="0" applyNumberFormat="1" applyFont="1" applyFill="1" applyBorder="1" applyAlignment="1">
      <alignment horizontal="center" vertical="center" wrapText="1"/>
    </xf>
    <xf numFmtId="0" fontId="3" fillId="0" borderId="0" xfId="11" applyFont="1" applyAlignment="1">
      <alignment horizontal="center"/>
    </xf>
    <xf numFmtId="0" fontId="3" fillId="0" borderId="0" xfId="11" applyFont="1"/>
    <xf numFmtId="0" fontId="3" fillId="0" borderId="0" xfId="11" applyFont="1" applyAlignment="1">
      <alignment vertical="center"/>
    </xf>
    <xf numFmtId="0" fontId="3" fillId="0" borderId="0" xfId="11" applyFont="1" applyFill="1"/>
    <xf numFmtId="0" fontId="3" fillId="0" borderId="0" xfId="11" applyFont="1" applyFill="1" applyAlignment="1">
      <alignment horizontal="center"/>
    </xf>
    <xf numFmtId="0" fontId="3" fillId="0" borderId="0" xfId="11" applyFont="1" applyAlignment="1">
      <alignment horizontal="center" vertical="center"/>
    </xf>
    <xf numFmtId="0" fontId="14" fillId="0" borderId="0" xfId="11" applyFont="1" applyAlignment="1">
      <alignment horizontal="center"/>
    </xf>
    <xf numFmtId="49" fontId="3" fillId="0" borderId="0" xfId="11" applyNumberFormat="1" applyFont="1" applyBorder="1" applyAlignment="1">
      <alignment horizontal="center"/>
    </xf>
    <xf numFmtId="0" fontId="3" fillId="0" borderId="0" xfId="11" applyFont="1" applyBorder="1" applyAlignment="1">
      <alignment vertical="top"/>
    </xf>
    <xf numFmtId="0" fontId="3" fillId="0" borderId="0" xfId="11" applyFont="1" applyBorder="1" applyAlignment="1">
      <alignment horizontal="left" indent="1"/>
    </xf>
    <xf numFmtId="0" fontId="3" fillId="0" borderId="0" xfId="11" applyFont="1" applyBorder="1" applyAlignment="1">
      <alignment horizontal="right" vertical="top"/>
    </xf>
    <xf numFmtId="0" fontId="3" fillId="3" borderId="14" xfId="11" applyFont="1" applyFill="1" applyBorder="1" applyAlignment="1">
      <alignment horizontal="center" vertical="top"/>
    </xf>
    <xf numFmtId="1" fontId="3" fillId="0" borderId="14" xfId="11" applyNumberFormat="1" applyFont="1" applyBorder="1" applyAlignment="1">
      <alignment horizontal="center" vertical="center" wrapText="1"/>
    </xf>
    <xf numFmtId="49" fontId="3" fillId="0" borderId="4" xfId="11" applyNumberFormat="1" applyFont="1" applyFill="1" applyBorder="1" applyAlignment="1">
      <alignment horizontal="center" vertical="top"/>
    </xf>
    <xf numFmtId="0" fontId="3" fillId="0" borderId="4" xfId="11" applyFont="1" applyBorder="1" applyAlignment="1">
      <alignment vertical="top" wrapText="1"/>
    </xf>
    <xf numFmtId="0" fontId="3" fillId="0" borderId="0" xfId="11" applyFont="1" applyBorder="1" applyAlignment="1">
      <alignment horizontal="center" vertical="top" wrapText="1"/>
    </xf>
    <xf numFmtId="0" fontId="3" fillId="0" borderId="0" xfId="11" applyFont="1" applyBorder="1" applyAlignment="1">
      <alignment horizontal="center" vertical="top"/>
    </xf>
    <xf numFmtId="169" fontId="3" fillId="0" borderId="0" xfId="11" applyNumberFormat="1" applyFont="1" applyBorder="1" applyAlignment="1">
      <alignment horizontal="center" vertical="top" wrapText="1"/>
    </xf>
    <xf numFmtId="0" fontId="3" fillId="0" borderId="14" xfId="11" applyFont="1" applyFill="1" applyBorder="1" applyAlignment="1">
      <alignment horizontal="center" vertical="top" wrapText="1"/>
    </xf>
    <xf numFmtId="0" fontId="23" fillId="0" borderId="14" xfId="0" applyFont="1" applyBorder="1" applyAlignment="1">
      <alignment horizontal="left" vertical="top" wrapText="1"/>
    </xf>
    <xf numFmtId="3" fontId="3" fillId="0" borderId="14" xfId="11" applyNumberFormat="1" applyFont="1" applyFill="1" applyBorder="1" applyAlignment="1">
      <alignment horizontal="center" vertical="top"/>
    </xf>
    <xf numFmtId="0" fontId="14" fillId="0" borderId="12" xfId="11" applyFont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3" fontId="14" fillId="0" borderId="5" xfId="11" applyNumberFormat="1" applyFont="1" applyBorder="1" applyAlignment="1">
      <alignment horizontal="center" vertical="top"/>
    </xf>
    <xf numFmtId="0" fontId="14" fillId="0" borderId="14" xfId="11" applyFont="1" applyBorder="1" applyAlignment="1">
      <alignment horizontal="center" vertical="top"/>
    </xf>
    <xf numFmtId="0" fontId="3" fillId="0" borderId="14" xfId="11" applyFont="1" applyFill="1" applyBorder="1" applyAlignment="1">
      <alignment horizontal="justify" vertical="top" wrapText="1"/>
    </xf>
    <xf numFmtId="0" fontId="14" fillId="0" borderId="0" xfId="0" applyFont="1" applyAlignment="1">
      <alignment horizontal="left" vertical="center" wrapText="1"/>
    </xf>
    <xf numFmtId="0" fontId="6" fillId="0" borderId="0" xfId="0" applyFont="1" applyBorder="1" applyAlignment="1">
      <alignment wrapText="1"/>
    </xf>
    <xf numFmtId="0" fontId="14" fillId="0" borderId="0" xfId="0" applyFont="1"/>
    <xf numFmtId="4" fontId="14" fillId="0" borderId="14" xfId="0" applyNumberFormat="1" applyFont="1" applyBorder="1"/>
    <xf numFmtId="0" fontId="14" fillId="0" borderId="14" xfId="0" applyFont="1" applyBorder="1"/>
    <xf numFmtId="4" fontId="3" fillId="0" borderId="14" xfId="0" applyNumberFormat="1" applyFont="1" applyBorder="1" applyAlignment="1">
      <alignment vertical="center"/>
    </xf>
    <xf numFmtId="4" fontId="3" fillId="0" borderId="14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vertical="top"/>
    </xf>
    <xf numFmtId="0" fontId="3" fillId="0" borderId="14" xfId="0" applyFont="1" applyFill="1" applyBorder="1" applyAlignment="1">
      <alignment vertical="top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right" vertical="center"/>
    </xf>
    <xf numFmtId="0" fontId="14" fillId="0" borderId="15" xfId="0" applyFont="1" applyBorder="1" applyAlignment="1">
      <alignment horizontal="center"/>
    </xf>
    <xf numFmtId="0" fontId="3" fillId="0" borderId="14" xfId="0" applyFont="1" applyFill="1" applyBorder="1" applyAlignment="1">
      <alignment horizontal="justify" vertical="top" wrapText="1"/>
    </xf>
    <xf numFmtId="0" fontId="3" fillId="0" borderId="14" xfId="0" applyFont="1" applyBorder="1" applyAlignment="1">
      <alignment horizontal="justify" wrapText="1"/>
    </xf>
    <xf numFmtId="0" fontId="3" fillId="0" borderId="14" xfId="0" applyFont="1" applyBorder="1" applyAlignment="1">
      <alignment horizontal="justify" vertical="top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3" fillId="2" borderId="14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NumberFormat="1" applyFont="1" applyAlignment="1">
      <alignment wrapText="1"/>
    </xf>
    <xf numFmtId="0" fontId="14" fillId="0" borderId="15" xfId="0" applyFont="1" applyBorder="1" applyAlignment="1">
      <alignment horizontal="left"/>
    </xf>
    <xf numFmtId="0" fontId="14" fillId="0" borderId="14" xfId="0" applyFont="1" applyBorder="1" applyAlignment="1">
      <alignment horizontal="left"/>
    </xf>
    <xf numFmtId="0" fontId="14" fillId="0" borderId="14" xfId="0" applyFont="1" applyBorder="1" applyAlignment="1">
      <alignment horizontal="center"/>
    </xf>
    <xf numFmtId="0" fontId="3" fillId="0" borderId="0" xfId="0" applyFont="1" applyAlignment="1">
      <alignment horizontal="left"/>
    </xf>
    <xf numFmtId="3" fontId="19" fillId="0" borderId="14" xfId="9" applyNumberFormat="1" applyFont="1" applyBorder="1" applyAlignment="1">
      <alignment horizontal="center" vertical="center" wrapText="1"/>
    </xf>
    <xf numFmtId="0" fontId="23" fillId="0" borderId="0" xfId="18" applyFont="1"/>
    <xf numFmtId="0" fontId="6" fillId="0" borderId="14" xfId="18" applyFont="1" applyBorder="1" applyAlignment="1">
      <alignment horizontal="center" vertical="center" wrapText="1"/>
    </xf>
    <xf numFmtId="0" fontId="6" fillId="0" borderId="0" xfId="18" applyFont="1"/>
    <xf numFmtId="0" fontId="6" fillId="0" borderId="14" xfId="18" applyFont="1" applyBorder="1" applyAlignment="1">
      <alignment vertical="top" wrapText="1"/>
    </xf>
    <xf numFmtId="0" fontId="6" fillId="0" borderId="14" xfId="18" applyFont="1" applyBorder="1" applyAlignment="1">
      <alignment vertical="top"/>
    </xf>
    <xf numFmtId="0" fontId="19" fillId="0" borderId="14" xfId="18" applyFont="1" applyBorder="1"/>
    <xf numFmtId="4" fontId="19" fillId="0" borderId="14" xfId="18" applyNumberFormat="1" applyFont="1" applyBorder="1" applyAlignment="1">
      <alignment horizontal="center"/>
    </xf>
    <xf numFmtId="0" fontId="19" fillId="0" borderId="14" xfId="18" applyFont="1" applyBorder="1" applyAlignment="1">
      <alignment wrapText="1"/>
    </xf>
    <xf numFmtId="1" fontId="3" fillId="0" borderId="14" xfId="0" applyNumberFormat="1" applyFont="1" applyFill="1" applyBorder="1" applyAlignment="1">
      <alignment horizontal="center" vertical="center"/>
    </xf>
    <xf numFmtId="0" fontId="4" fillId="0" borderId="0" xfId="5" applyNumberFormat="1" applyFont="1"/>
    <xf numFmtId="0" fontId="4" fillId="0" borderId="0" xfId="5" applyNumberFormat="1" applyFont="1" applyAlignment="1">
      <alignment horizontal="right"/>
    </xf>
    <xf numFmtId="0" fontId="30" fillId="0" borderId="0" xfId="5" applyNumberFormat="1" applyFont="1" applyBorder="1" applyAlignment="1">
      <alignment horizontal="right" vertical="top"/>
    </xf>
    <xf numFmtId="0" fontId="4" fillId="0" borderId="0" xfId="5" applyNumberFormat="1" applyFont="1" applyAlignment="1"/>
    <xf numFmtId="0" fontId="4" fillId="0" borderId="0" xfId="5" applyNumberFormat="1" applyFont="1" applyAlignment="1">
      <alignment wrapText="1"/>
    </xf>
    <xf numFmtId="0" fontId="4" fillId="0" borderId="0" xfId="5" applyNumberFormat="1" applyBorder="1" applyAlignment="1">
      <alignment vertical="top" wrapText="1"/>
    </xf>
    <xf numFmtId="0" fontId="4" fillId="0" borderId="0" xfId="5" applyNumberFormat="1" applyFont="1" applyAlignment="1">
      <alignment vertical="top" wrapText="1"/>
    </xf>
    <xf numFmtId="0" fontId="4" fillId="0" borderId="0" xfId="5" applyNumberFormat="1" applyFont="1" applyAlignment="1">
      <alignment vertical="top"/>
    </xf>
    <xf numFmtId="0" fontId="32" fillId="0" borderId="1" xfId="5" applyNumberFormat="1" applyFont="1" applyBorder="1" applyAlignment="1">
      <alignment horizontal="center" vertical="top" wrapText="1"/>
    </xf>
    <xf numFmtId="0" fontId="33" fillId="0" borderId="1" xfId="5" applyNumberFormat="1" applyFont="1" applyBorder="1" applyAlignment="1">
      <alignment horizontal="center" vertical="top" wrapText="1"/>
    </xf>
    <xf numFmtId="49" fontId="4" fillId="0" borderId="1" xfId="5" applyNumberFormat="1" applyFont="1" applyBorder="1" applyAlignment="1">
      <alignment horizontal="center" wrapText="1"/>
    </xf>
    <xf numFmtId="0" fontId="4" fillId="0" borderId="1" xfId="5" applyNumberFormat="1" applyFont="1" applyBorder="1" applyAlignment="1">
      <alignment horizontal="center" wrapText="1"/>
    </xf>
    <xf numFmtId="49" fontId="31" fillId="0" borderId="30" xfId="5" applyNumberFormat="1" applyFont="1" applyBorder="1" applyAlignment="1">
      <alignment horizontal="right" vertical="top" wrapText="1"/>
    </xf>
    <xf numFmtId="0" fontId="31" fillId="0" borderId="30" xfId="5" applyNumberFormat="1" applyFont="1" applyBorder="1" applyAlignment="1">
      <alignment horizontal="left" vertical="top" wrapText="1"/>
    </xf>
    <xf numFmtId="0" fontId="31" fillId="0" borderId="30" xfId="5" applyNumberFormat="1" applyFont="1" applyBorder="1" applyAlignment="1">
      <alignment horizontal="right" vertical="top" wrapText="1"/>
    </xf>
    <xf numFmtId="49" fontId="31" fillId="0" borderId="34" xfId="5" applyNumberFormat="1" applyFont="1" applyBorder="1" applyAlignment="1">
      <alignment horizontal="right" vertical="top" wrapText="1"/>
    </xf>
    <xf numFmtId="0" fontId="4" fillId="0" borderId="34" xfId="5" applyNumberFormat="1" applyFont="1" applyBorder="1" applyAlignment="1">
      <alignment horizontal="left" vertical="top" wrapText="1"/>
    </xf>
    <xf numFmtId="0" fontId="4" fillId="0" borderId="34" xfId="5" applyNumberFormat="1" applyFont="1" applyBorder="1" applyAlignment="1">
      <alignment horizontal="right" vertical="top" wrapText="1"/>
    </xf>
    <xf numFmtId="49" fontId="31" fillId="0" borderId="7" xfId="5" applyNumberFormat="1" applyFont="1" applyBorder="1" applyAlignment="1">
      <alignment horizontal="right" vertical="top" wrapText="1"/>
    </xf>
    <xf numFmtId="0" fontId="4" fillId="0" borderId="7" xfId="5" applyNumberFormat="1" applyFont="1" applyBorder="1" applyAlignment="1">
      <alignment horizontal="left" vertical="top" wrapText="1"/>
    </xf>
    <xf numFmtId="0" fontId="4" fillId="0" borderId="7" xfId="5" applyNumberFormat="1" applyFont="1" applyBorder="1" applyAlignment="1">
      <alignment horizontal="right" vertical="top" wrapText="1"/>
    </xf>
    <xf numFmtId="0" fontId="31" fillId="0" borderId="7" xfId="5" applyNumberFormat="1" applyFont="1" applyBorder="1" applyAlignment="1">
      <alignment horizontal="left" vertical="top" wrapText="1"/>
    </xf>
    <xf numFmtId="49" fontId="31" fillId="0" borderId="14" xfId="5" applyNumberFormat="1" applyFont="1" applyBorder="1" applyAlignment="1">
      <alignment horizontal="right" vertical="top" wrapText="1"/>
    </xf>
    <xf numFmtId="0" fontId="4" fillId="0" borderId="14" xfId="5" applyNumberFormat="1" applyFont="1" applyBorder="1" applyAlignment="1">
      <alignment horizontal="left" vertical="top" wrapText="1"/>
    </xf>
    <xf numFmtId="0" fontId="31" fillId="0" borderId="14" xfId="5" applyNumberFormat="1" applyFont="1" applyBorder="1" applyAlignment="1">
      <alignment horizontal="left" vertical="top" wrapText="1"/>
    </xf>
    <xf numFmtId="0" fontId="4" fillId="0" borderId="0" xfId="5" applyNumberFormat="1" applyFont="1" applyAlignment="1">
      <alignment horizontal="left" vertical="top"/>
    </xf>
    <xf numFmtId="0" fontId="33" fillId="0" borderId="0" xfId="5" applyNumberFormat="1" applyFont="1" applyAlignment="1">
      <alignment wrapText="1"/>
    </xf>
    <xf numFmtId="49" fontId="31" fillId="0" borderId="10" xfId="5" applyNumberFormat="1" applyFont="1" applyBorder="1" applyAlignment="1">
      <alignment horizontal="right" vertical="top" wrapText="1"/>
    </xf>
    <xf numFmtId="49" fontId="31" fillId="0" borderId="4" xfId="5" applyNumberFormat="1" applyFont="1" applyBorder="1" applyAlignment="1">
      <alignment horizontal="right" vertical="top" wrapText="1"/>
    </xf>
    <xf numFmtId="0" fontId="4" fillId="0" borderId="10" xfId="5" applyNumberFormat="1" applyFont="1" applyBorder="1" applyAlignment="1">
      <alignment horizontal="left" vertical="top" wrapText="1"/>
    </xf>
    <xf numFmtId="0" fontId="4" fillId="0" borderId="4" xfId="5" applyNumberFormat="1" applyFont="1" applyBorder="1" applyAlignment="1">
      <alignment horizontal="left" vertical="top" wrapText="1"/>
    </xf>
    <xf numFmtId="3" fontId="4" fillId="0" borderId="10" xfId="5" applyNumberFormat="1" applyFont="1" applyBorder="1" applyAlignment="1">
      <alignment horizontal="right" vertical="top" wrapText="1"/>
    </xf>
    <xf numFmtId="3" fontId="4" fillId="0" borderId="4" xfId="5" applyNumberFormat="1" applyFont="1" applyBorder="1" applyAlignment="1">
      <alignment horizontal="right" vertical="top" wrapText="1"/>
    </xf>
    <xf numFmtId="3" fontId="4" fillId="0" borderId="7" xfId="5" applyNumberFormat="1" applyFont="1" applyBorder="1" applyAlignment="1">
      <alignment horizontal="right" vertical="top" wrapText="1"/>
    </xf>
    <xf numFmtId="3" fontId="31" fillId="0" borderId="7" xfId="5" applyNumberFormat="1" applyFont="1" applyBorder="1" applyAlignment="1">
      <alignment horizontal="right" vertical="top" wrapText="1"/>
    </xf>
    <xf numFmtId="3" fontId="4" fillId="0" borderId="14" xfId="5" applyNumberFormat="1" applyFont="1" applyBorder="1" applyAlignment="1">
      <alignment horizontal="right" vertical="top" wrapText="1"/>
    </xf>
    <xf numFmtId="4" fontId="4" fillId="0" borderId="14" xfId="5" applyNumberFormat="1" applyFont="1" applyBorder="1" applyAlignment="1">
      <alignment horizontal="right" vertical="top" wrapText="1"/>
    </xf>
    <xf numFmtId="4" fontId="31" fillId="0" borderId="14" xfId="5" applyNumberFormat="1" applyFont="1" applyBorder="1" applyAlignment="1">
      <alignment horizontal="right" vertical="top" wrapText="1"/>
    </xf>
    <xf numFmtId="0" fontId="4" fillId="0" borderId="0" xfId="5" applyNumberFormat="1" applyFont="1" applyAlignment="1">
      <alignment horizontal="left" wrapText="1"/>
    </xf>
    <xf numFmtId="3" fontId="8" fillId="0" borderId="13" xfId="7" applyNumberFormat="1" applyFont="1" applyBorder="1" applyAlignment="1">
      <alignment horizontal="center" vertical="center" wrapText="1"/>
    </xf>
    <xf numFmtId="0" fontId="8" fillId="0" borderId="15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top" wrapText="1"/>
    </xf>
    <xf numFmtId="0" fontId="7" fillId="0" borderId="15" xfId="7" applyFont="1" applyBorder="1" applyAlignment="1">
      <alignment horizontal="center" vertical="top" wrapText="1"/>
    </xf>
    <xf numFmtId="0" fontId="7" fillId="0" borderId="0" xfId="7" applyFont="1" applyAlignment="1"/>
    <xf numFmtId="3" fontId="7" fillId="0" borderId="13" xfId="7" applyNumberFormat="1" applyFont="1" applyBorder="1" applyAlignment="1">
      <alignment horizontal="center" vertical="top" wrapText="1"/>
    </xf>
    <xf numFmtId="0" fontId="8" fillId="0" borderId="13" xfId="7" applyFont="1" applyBorder="1" applyAlignment="1">
      <alignment horizontal="right" vertical="center" wrapText="1"/>
    </xf>
    <xf numFmtId="0" fontId="8" fillId="0" borderId="12" xfId="7" applyFont="1" applyBorder="1" applyAlignment="1">
      <alignment horizontal="right" vertical="center" wrapText="1"/>
    </xf>
    <xf numFmtId="0" fontId="8" fillId="0" borderId="15" xfId="7" applyFont="1" applyBorder="1" applyAlignment="1">
      <alignment horizontal="right" vertical="center" wrapText="1"/>
    </xf>
    <xf numFmtId="0" fontId="7" fillId="0" borderId="0" xfId="7" applyFont="1" applyAlignment="1">
      <alignment horizontal="left"/>
    </xf>
    <xf numFmtId="0" fontId="8" fillId="0" borderId="13" xfId="7" applyFont="1" applyBorder="1" applyAlignment="1">
      <alignment horizontal="right" vertical="top" wrapText="1"/>
    </xf>
    <xf numFmtId="0" fontId="8" fillId="0" borderId="12" xfId="7" applyFont="1" applyBorder="1" applyAlignment="1">
      <alignment horizontal="right" vertical="top" wrapText="1"/>
    </xf>
    <xf numFmtId="0" fontId="8" fillId="0" borderId="15" xfId="7" applyFont="1" applyBorder="1" applyAlignment="1">
      <alignment horizontal="right" vertical="top" wrapText="1"/>
    </xf>
    <xf numFmtId="3" fontId="7" fillId="0" borderId="15" xfId="7" applyNumberFormat="1" applyFont="1" applyBorder="1" applyAlignment="1">
      <alignment horizontal="center" vertical="top" wrapText="1"/>
    </xf>
    <xf numFmtId="0" fontId="8" fillId="0" borderId="16" xfId="7" applyFont="1" applyBorder="1" applyAlignment="1">
      <alignment horizontal="center" vertical="top" wrapText="1"/>
    </xf>
    <xf numFmtId="0" fontId="0" fillId="0" borderId="16" xfId="0" applyBorder="1" applyAlignment="1">
      <alignment vertical="top" wrapText="1"/>
    </xf>
    <xf numFmtId="0" fontId="7" fillId="0" borderId="0" xfId="7" applyFont="1" applyAlignment="1">
      <alignment horizontal="right"/>
    </xf>
    <xf numFmtId="0" fontId="8" fillId="0" borderId="0" xfId="7" applyFont="1" applyAlignment="1">
      <alignment horizontal="center" wrapText="1"/>
    </xf>
    <xf numFmtId="0" fontId="7" fillId="0" borderId="13" xfId="7" applyFont="1" applyBorder="1" applyAlignment="1">
      <alignment horizontal="center" vertical="center" wrapText="1"/>
    </xf>
    <xf numFmtId="0" fontId="7" fillId="0" borderId="15" xfId="7" applyFont="1" applyBorder="1" applyAlignment="1">
      <alignment horizontal="center" vertical="center" wrapText="1"/>
    </xf>
    <xf numFmtId="0" fontId="19" fillId="0" borderId="10" xfId="9" applyFont="1" applyBorder="1" applyAlignment="1">
      <alignment horizontal="center" vertical="center" wrapText="1"/>
    </xf>
    <xf numFmtId="0" fontId="19" fillId="0" borderId="7" xfId="9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19" fillId="0" borderId="9" xfId="9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13" xfId="9" applyFont="1" applyBorder="1" applyAlignment="1">
      <alignment horizontal="center" vertical="center" wrapText="1"/>
    </xf>
    <xf numFmtId="0" fontId="0" fillId="0" borderId="12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6" fillId="0" borderId="0" xfId="9" applyFont="1" applyAlignment="1">
      <alignment horizontal="center" wrapText="1"/>
    </xf>
    <xf numFmtId="0" fontId="21" fillId="0" borderId="0" xfId="9" applyFont="1" applyAlignment="1">
      <alignment horizontal="left" wrapText="1"/>
    </xf>
    <xf numFmtId="0" fontId="19" fillId="0" borderId="12" xfId="9" applyFont="1" applyBorder="1" applyAlignment="1">
      <alignment horizontal="center" vertical="top" wrapText="1"/>
    </xf>
    <xf numFmtId="0" fontId="19" fillId="0" borderId="15" xfId="9" applyFont="1" applyBorder="1" applyAlignment="1">
      <alignment horizontal="center" vertical="top" wrapText="1"/>
    </xf>
    <xf numFmtId="0" fontId="6" fillId="0" borderId="9" xfId="9" applyFont="1" applyBorder="1" applyAlignment="1">
      <alignment horizontal="center" vertical="center" wrapText="1"/>
    </xf>
    <xf numFmtId="0" fontId="6" fillId="0" borderId="3" xfId="9" applyFont="1" applyBorder="1" applyAlignment="1">
      <alignment horizontal="center" vertical="center" wrapText="1"/>
    </xf>
    <xf numFmtId="0" fontId="6" fillId="0" borderId="6" xfId="9" applyFont="1" applyBorder="1" applyAlignment="1">
      <alignment horizontal="center" vertical="center" wrapText="1"/>
    </xf>
    <xf numFmtId="0" fontId="6" fillId="0" borderId="10" xfId="9" applyFont="1" applyBorder="1" applyAlignment="1">
      <alignment horizontal="left" vertical="center" wrapText="1"/>
    </xf>
    <xf numFmtId="0" fontId="6" fillId="0" borderId="4" xfId="9" applyFont="1" applyBorder="1" applyAlignment="1">
      <alignment horizontal="left" vertical="center" wrapText="1"/>
    </xf>
    <xf numFmtId="0" fontId="6" fillId="0" borderId="7" xfId="9" applyFont="1" applyBorder="1" applyAlignment="1">
      <alignment horizontal="left" vertical="center" wrapText="1"/>
    </xf>
    <xf numFmtId="0" fontId="3" fillId="0" borderId="10" xfId="9" applyFont="1" applyFill="1" applyBorder="1" applyAlignment="1">
      <alignment horizontal="center" vertical="center" wrapText="1"/>
    </xf>
    <xf numFmtId="0" fontId="3" fillId="0" borderId="4" xfId="9" applyFont="1" applyFill="1" applyBorder="1" applyAlignment="1">
      <alignment horizontal="center" vertical="center" wrapText="1"/>
    </xf>
    <xf numFmtId="0" fontId="3" fillId="0" borderId="7" xfId="9" applyFont="1" applyFill="1" applyBorder="1" applyAlignment="1">
      <alignment horizontal="center" vertical="center" wrapText="1"/>
    </xf>
    <xf numFmtId="0" fontId="19" fillId="0" borderId="12" xfId="9" applyFont="1" applyBorder="1" applyAlignment="1">
      <alignment horizontal="left" vertical="center" wrapText="1"/>
    </xf>
    <xf numFmtId="0" fontId="14" fillId="0" borderId="0" xfId="11" applyFont="1" applyBorder="1" applyAlignment="1">
      <alignment horizontal="center" wrapText="1"/>
    </xf>
    <xf numFmtId="0" fontId="14" fillId="0" borderId="0" xfId="11" applyFont="1" applyBorder="1" applyAlignment="1">
      <alignment horizontal="center" vertical="center" wrapText="1"/>
    </xf>
    <xf numFmtId="0" fontId="24" fillId="0" borderId="0" xfId="11" applyFont="1" applyBorder="1" applyAlignment="1">
      <alignment horizontal="center" vertical="center" wrapText="1"/>
    </xf>
    <xf numFmtId="0" fontId="14" fillId="0" borderId="0" xfId="11" applyFont="1" applyBorder="1" applyAlignment="1">
      <alignment horizontal="center"/>
    </xf>
    <xf numFmtId="0" fontId="0" fillId="0" borderId="0" xfId="0" applyAlignment="1">
      <alignment horizontal="center"/>
    </xf>
    <xf numFmtId="1" fontId="14" fillId="0" borderId="14" xfId="11" applyNumberFormat="1" applyFont="1" applyBorder="1" applyAlignment="1">
      <alignment horizontal="right" vertical="center" wrapText="1"/>
    </xf>
    <xf numFmtId="0" fontId="14" fillId="0" borderId="14" xfId="11" applyFont="1" applyBorder="1" applyAlignment="1">
      <alignment horizontal="center" vertical="top" wrapText="1"/>
    </xf>
    <xf numFmtId="0" fontId="14" fillId="0" borderId="14" xfId="11" applyFont="1" applyBorder="1" applyAlignment="1">
      <alignment horizontal="center" wrapText="1"/>
    </xf>
    <xf numFmtId="0" fontId="14" fillId="0" borderId="14" xfId="11" applyFont="1" applyBorder="1" applyAlignment="1">
      <alignment horizontal="center" vertical="center" wrapText="1"/>
    </xf>
    <xf numFmtId="0" fontId="14" fillId="0" borderId="14" xfId="11" applyFont="1" applyBorder="1" applyAlignment="1">
      <alignment horizontal="center"/>
    </xf>
    <xf numFmtId="0" fontId="14" fillId="0" borderId="14" xfId="11" applyFont="1" applyBorder="1" applyAlignment="1">
      <alignment horizontal="left" vertical="top" wrapText="1"/>
    </xf>
    <xf numFmtId="0" fontId="3" fillId="0" borderId="14" xfId="1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3" fillId="0" borderId="24" xfId="0" applyFont="1" applyBorder="1"/>
    <xf numFmtId="0" fontId="3" fillId="0" borderId="21" xfId="0" applyFont="1" applyBorder="1"/>
    <xf numFmtId="0" fontId="3" fillId="0" borderId="22" xfId="0" applyFont="1" applyBorder="1"/>
    <xf numFmtId="0" fontId="6" fillId="0" borderId="19" xfId="0" applyFont="1" applyFill="1" applyBorder="1" applyAlignment="1">
      <alignment horizontal="center" vertical="top" wrapText="1"/>
    </xf>
    <xf numFmtId="0" fontId="6" fillId="0" borderId="20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" fillId="0" borderId="18" xfId="0" applyFont="1" applyFill="1" applyBorder="1"/>
    <xf numFmtId="0" fontId="3" fillId="0" borderId="18" xfId="0" applyFont="1" applyFill="1" applyBorder="1" applyAlignment="1">
      <alignment horizontal="center" vertical="top"/>
    </xf>
    <xf numFmtId="0" fontId="15" fillId="0" borderId="23" xfId="0" applyFont="1" applyFill="1" applyBorder="1" applyAlignment="1">
      <alignment horizontal="center" vertical="center" wrapText="1"/>
    </xf>
    <xf numFmtId="0" fontId="26" fillId="0" borderId="24" xfId="0" applyFont="1" applyFill="1" applyBorder="1" applyAlignment="1">
      <alignment vertical="center"/>
    </xf>
    <xf numFmtId="0" fontId="26" fillId="0" borderId="21" xfId="0" applyFont="1" applyFill="1" applyBorder="1" applyAlignment="1">
      <alignment vertical="center"/>
    </xf>
    <xf numFmtId="0" fontId="26" fillId="0" borderId="2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 wrapText="1"/>
    </xf>
    <xf numFmtId="0" fontId="25" fillId="0" borderId="24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26" fillId="2" borderId="3" xfId="0" applyFont="1" applyFill="1" applyBorder="1" applyAlignment="1">
      <alignment horizontal="center"/>
    </xf>
    <xf numFmtId="0" fontId="26" fillId="2" borderId="5" xfId="0" applyFont="1" applyFill="1" applyBorder="1" applyAlignment="1">
      <alignment horizontal="center"/>
    </xf>
    <xf numFmtId="0" fontId="26" fillId="2" borderId="6" xfId="0" applyFont="1" applyFill="1" applyBorder="1" applyAlignment="1">
      <alignment horizontal="center"/>
    </xf>
    <xf numFmtId="0" fontId="26" fillId="2" borderId="8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2" borderId="14" xfId="0" applyFont="1" applyFill="1" applyBorder="1" applyAlignment="1">
      <alignment horizontal="left" wrapText="1"/>
    </xf>
    <xf numFmtId="0" fontId="3" fillId="0" borderId="1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2" fontId="3" fillId="0" borderId="14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4" fillId="2" borderId="14" xfId="0" applyFont="1" applyFill="1" applyBorder="1" applyAlignment="1">
      <alignment horizontal="right" vertical="center"/>
    </xf>
    <xf numFmtId="0" fontId="14" fillId="0" borderId="14" xfId="0" applyFont="1" applyBorder="1" applyAlignment="1">
      <alignment horizontal="right"/>
    </xf>
    <xf numFmtId="0" fontId="3" fillId="2" borderId="1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6" fillId="2" borderId="10" xfId="0" applyFont="1" applyFill="1" applyBorder="1" applyAlignment="1">
      <alignment horizontal="justify" vertical="center" wrapText="1"/>
    </xf>
    <xf numFmtId="0" fontId="26" fillId="2" borderId="7" xfId="0" applyFont="1" applyFill="1" applyBorder="1" applyAlignment="1">
      <alignment horizontal="justify" vertical="center" wrapText="1"/>
    </xf>
    <xf numFmtId="0" fontId="26" fillId="2" borderId="10" xfId="0" applyFont="1" applyFill="1" applyBorder="1" applyAlignment="1">
      <alignment horizontal="justify" vertical="center"/>
    </xf>
    <xf numFmtId="0" fontId="26" fillId="2" borderId="4" xfId="0" applyFont="1" applyFill="1" applyBorder="1" applyAlignment="1">
      <alignment horizontal="justify" vertical="center"/>
    </xf>
    <xf numFmtId="0" fontId="3" fillId="0" borderId="10" xfId="0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9" fillId="0" borderId="21" xfId="0" applyFont="1" applyFill="1" applyBorder="1" applyAlignment="1">
      <alignment horizontal="center" vertical="top" wrapText="1"/>
    </xf>
    <xf numFmtId="0" fontId="19" fillId="0" borderId="22" xfId="0" applyFont="1" applyFill="1" applyBorder="1" applyAlignment="1">
      <alignment horizontal="center" vertical="top" wrapText="1"/>
    </xf>
    <xf numFmtId="0" fontId="6" fillId="0" borderId="23" xfId="0" applyFont="1" applyFill="1" applyBorder="1" applyAlignment="1">
      <alignment horizontal="center" vertical="top" wrapText="1"/>
    </xf>
    <xf numFmtId="0" fontId="6" fillId="0" borderId="24" xfId="0" applyFont="1" applyFill="1" applyBorder="1" applyAlignment="1">
      <alignment horizontal="center" vertical="top" wrapText="1"/>
    </xf>
    <xf numFmtId="0" fontId="19" fillId="0" borderId="19" xfId="0" applyFont="1" applyFill="1" applyBorder="1" applyAlignment="1">
      <alignment horizontal="center" vertical="top" wrapText="1"/>
    </xf>
    <xf numFmtId="0" fontId="19" fillId="0" borderId="20" xfId="0" applyFont="1" applyFill="1" applyBorder="1" applyAlignment="1">
      <alignment horizontal="center" vertical="top" wrapText="1"/>
    </xf>
    <xf numFmtId="0" fontId="6" fillId="0" borderId="19" xfId="0" applyFont="1" applyFill="1" applyBorder="1" applyAlignment="1">
      <alignment vertical="top" wrapText="1"/>
    </xf>
    <xf numFmtId="0" fontId="6" fillId="0" borderId="20" xfId="0" applyFont="1" applyFill="1" applyBorder="1" applyAlignment="1">
      <alignment vertical="top" wrapText="1"/>
    </xf>
    <xf numFmtId="0" fontId="19" fillId="0" borderId="19" xfId="0" applyFont="1" applyFill="1" applyBorder="1" applyAlignment="1">
      <alignment vertical="top" wrapText="1"/>
    </xf>
    <xf numFmtId="0" fontId="19" fillId="0" borderId="20" xfId="0" applyFont="1" applyFill="1" applyBorder="1" applyAlignment="1">
      <alignment vertical="top" wrapText="1"/>
    </xf>
    <xf numFmtId="0" fontId="19" fillId="0" borderId="19" xfId="0" applyFont="1" applyFill="1" applyBorder="1" applyAlignment="1">
      <alignment horizontal="left" vertical="top" wrapText="1"/>
    </xf>
    <xf numFmtId="0" fontId="19" fillId="0" borderId="20" xfId="0" applyFont="1" applyFill="1" applyBorder="1" applyAlignment="1">
      <alignment horizontal="left" vertical="top" wrapText="1"/>
    </xf>
    <xf numFmtId="0" fontId="6" fillId="0" borderId="0" xfId="9" applyFont="1" applyAlignment="1">
      <alignment horizontal="left" wrapText="1"/>
    </xf>
    <xf numFmtId="1" fontId="14" fillId="0" borderId="13" xfId="11" applyNumberFormat="1" applyFont="1" applyBorder="1" applyAlignment="1">
      <alignment horizontal="right" vertical="center" wrapText="1"/>
    </xf>
    <xf numFmtId="1" fontId="14" fillId="0" borderId="12" xfId="11" applyNumberFormat="1" applyFont="1" applyBorder="1" applyAlignment="1">
      <alignment horizontal="right" vertical="center" wrapText="1"/>
    </xf>
    <xf numFmtId="1" fontId="14" fillId="0" borderId="15" xfId="11" applyNumberFormat="1" applyFont="1" applyBorder="1" applyAlignment="1">
      <alignment horizontal="right" vertical="center" wrapText="1"/>
    </xf>
    <xf numFmtId="49" fontId="3" fillId="0" borderId="0" xfId="11" applyNumberFormat="1" applyFont="1" applyBorder="1" applyAlignment="1">
      <alignment horizontal="left" wrapText="1"/>
    </xf>
    <xf numFmtId="0" fontId="3" fillId="0" borderId="0" xfId="11" applyFont="1" applyBorder="1" applyAlignment="1">
      <alignment horizontal="center" wrapText="1"/>
    </xf>
    <xf numFmtId="49" fontId="14" fillId="0" borderId="14" xfId="11" applyNumberFormat="1" applyFont="1" applyBorder="1" applyAlignment="1">
      <alignment horizontal="center" vertical="center"/>
    </xf>
    <xf numFmtId="0" fontId="14" fillId="0" borderId="14" xfId="11" applyFont="1" applyBorder="1" applyAlignment="1">
      <alignment vertical="top" wrapText="1"/>
    </xf>
    <xf numFmtId="2" fontId="14" fillId="0" borderId="14" xfId="11" applyNumberFormat="1" applyFont="1" applyBorder="1" applyAlignment="1">
      <alignment horizontal="center" vertical="center" wrapText="1"/>
    </xf>
    <xf numFmtId="3" fontId="14" fillId="0" borderId="14" xfId="11" applyNumberFormat="1" applyFont="1" applyBorder="1" applyAlignment="1">
      <alignment horizontal="center" vertical="center"/>
    </xf>
    <xf numFmtId="0" fontId="14" fillId="0" borderId="13" xfId="11" applyFont="1" applyBorder="1" applyAlignment="1">
      <alignment horizontal="right" vertical="center" wrapText="1"/>
    </xf>
    <xf numFmtId="0" fontId="27" fillId="0" borderId="12" xfId="0" applyFont="1" applyBorder="1" applyAlignment="1">
      <alignment vertical="center"/>
    </xf>
    <xf numFmtId="0" fontId="27" fillId="0" borderId="15" xfId="0" applyFont="1" applyBorder="1" applyAlignment="1">
      <alignment vertical="center"/>
    </xf>
    <xf numFmtId="0" fontId="14" fillId="0" borderId="13" xfId="11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0" fillId="0" borderId="12" xfId="0" applyBorder="1" applyAlignment="1"/>
    <xf numFmtId="0" fontId="0" fillId="0" borderId="15" xfId="0" applyBorder="1" applyAlignment="1"/>
    <xf numFmtId="0" fontId="14" fillId="0" borderId="14" xfId="11" applyFont="1" applyBorder="1" applyAlignment="1">
      <alignment horizontal="right" vertical="center" wrapText="1"/>
    </xf>
    <xf numFmtId="0" fontId="27" fillId="0" borderId="14" xfId="0" applyFont="1" applyBorder="1" applyAlignment="1"/>
    <xf numFmtId="0" fontId="14" fillId="0" borderId="13" xfId="11" applyFont="1" applyBorder="1" applyAlignment="1">
      <alignment horizontal="right" vertical="top" wrapText="1"/>
    </xf>
    <xf numFmtId="0" fontId="27" fillId="0" borderId="12" xfId="0" applyFont="1" applyBorder="1" applyAlignment="1">
      <alignment vertical="top"/>
    </xf>
    <xf numFmtId="0" fontId="27" fillId="0" borderId="15" xfId="0" applyFont="1" applyBorder="1" applyAlignment="1">
      <alignment vertical="top"/>
    </xf>
    <xf numFmtId="0" fontId="3" fillId="0" borderId="9" xfId="11" applyFont="1" applyBorder="1" applyAlignment="1">
      <alignment horizontal="center" vertical="center" wrapText="1"/>
    </xf>
    <xf numFmtId="0" fontId="3" fillId="0" borderId="17" xfId="11" applyFont="1" applyBorder="1" applyAlignment="1">
      <alignment horizontal="center" vertical="center" wrapText="1"/>
    </xf>
    <xf numFmtId="0" fontId="3" fillId="0" borderId="11" xfId="1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3" fontId="3" fillId="0" borderId="10" xfId="11" applyNumberFormat="1" applyFont="1" applyBorder="1" applyAlignment="1">
      <alignment horizontal="center" vertical="center" wrapText="1"/>
    </xf>
    <xf numFmtId="3" fontId="3" fillId="0" borderId="7" xfId="11" applyNumberFormat="1" applyFont="1" applyBorder="1" applyAlignment="1">
      <alignment horizontal="center" vertical="center" wrapText="1"/>
    </xf>
    <xf numFmtId="0" fontId="6" fillId="0" borderId="10" xfId="18" applyFont="1" applyBorder="1" applyAlignment="1">
      <alignment horizontal="center" vertical="top"/>
    </xf>
    <xf numFmtId="0" fontId="23" fillId="0" borderId="4" xfId="18" applyFont="1" applyBorder="1" applyAlignment="1">
      <alignment horizontal="center" vertical="top"/>
    </xf>
    <xf numFmtId="0" fontId="23" fillId="0" borderId="7" xfId="18" applyFont="1" applyBorder="1" applyAlignment="1">
      <alignment horizontal="center" vertical="top"/>
    </xf>
    <xf numFmtId="0" fontId="6" fillId="0" borderId="10" xfId="18" applyFont="1" applyBorder="1" applyAlignment="1">
      <alignment vertical="top" wrapText="1"/>
    </xf>
    <xf numFmtId="0" fontId="23" fillId="0" borderId="4" xfId="18" applyFont="1" applyBorder="1" applyAlignment="1">
      <alignment vertical="top"/>
    </xf>
    <xf numFmtId="4" fontId="6" fillId="0" borderId="10" xfId="18" applyNumberFormat="1" applyFont="1" applyBorder="1" applyAlignment="1">
      <alignment horizontal="center" vertical="top" wrapText="1"/>
    </xf>
    <xf numFmtId="4" fontId="23" fillId="0" borderId="4" xfId="18" applyNumberFormat="1" applyFont="1" applyBorder="1" applyAlignment="1">
      <alignment horizontal="center" vertical="top"/>
    </xf>
    <xf numFmtId="4" fontId="23" fillId="0" borderId="7" xfId="18" applyNumberFormat="1" applyFont="1" applyBorder="1" applyAlignment="1">
      <alignment horizontal="center" vertical="top"/>
    </xf>
    <xf numFmtId="0" fontId="19" fillId="0" borderId="0" xfId="18" applyFont="1" applyAlignment="1">
      <alignment horizontal="center"/>
    </xf>
    <xf numFmtId="0" fontId="6" fillId="0" borderId="10" xfId="18" applyFont="1" applyBorder="1" applyAlignment="1">
      <alignment horizontal="center" vertical="top" wrapText="1"/>
    </xf>
    <xf numFmtId="0" fontId="23" fillId="0" borderId="4" xfId="18" applyFont="1" applyBorder="1" applyAlignment="1">
      <alignment horizontal="center" vertical="top" wrapText="1"/>
    </xf>
    <xf numFmtId="0" fontId="23" fillId="0" borderId="7" xfId="18" applyFont="1" applyBorder="1" applyAlignment="1">
      <alignment horizontal="center" vertical="top" wrapText="1"/>
    </xf>
    <xf numFmtId="0" fontId="14" fillId="0" borderId="17" xfId="0" applyFont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14" fillId="0" borderId="13" xfId="0" applyFont="1" applyBorder="1" applyAlignment="1">
      <alignment horizontal="left"/>
    </xf>
    <xf numFmtId="0" fontId="14" fillId="0" borderId="12" xfId="0" applyFont="1" applyBorder="1" applyAlignment="1">
      <alignment horizontal="left"/>
    </xf>
    <xf numFmtId="0" fontId="14" fillId="0" borderId="15" xfId="0" applyFont="1" applyBorder="1" applyAlignment="1">
      <alignment horizontal="left"/>
    </xf>
    <xf numFmtId="0" fontId="19" fillId="0" borderId="13" xfId="19" applyFont="1" applyFill="1" applyBorder="1" applyAlignment="1">
      <alignment horizontal="left" vertical="center" wrapText="1"/>
    </xf>
    <xf numFmtId="0" fontId="27" fillId="0" borderId="15" xfId="0" applyFont="1" applyBorder="1" applyAlignment="1">
      <alignment horizontal="left"/>
    </xf>
    <xf numFmtId="0" fontId="14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left"/>
    </xf>
    <xf numFmtId="0" fontId="27" fillId="0" borderId="12" xfId="0" applyFont="1" applyBorder="1" applyAlignment="1">
      <alignment horizontal="left"/>
    </xf>
    <xf numFmtId="0" fontId="14" fillId="0" borderId="14" xfId="0" applyFont="1" applyBorder="1" applyAlignment="1">
      <alignment horizontal="center"/>
    </xf>
    <xf numFmtId="0" fontId="4" fillId="0" borderId="0" xfId="5" applyNumberFormat="1" applyFont="1" applyAlignment="1">
      <alignment horizontal="left" vertical="top" wrapText="1"/>
    </xf>
    <xf numFmtId="0" fontId="4" fillId="0" borderId="0" xfId="5" applyNumberFormat="1" applyFont="1" applyAlignment="1">
      <alignment horizontal="left" wrapText="1"/>
    </xf>
    <xf numFmtId="0" fontId="33" fillId="0" borderId="0" xfId="5" applyNumberFormat="1" applyFont="1" applyAlignment="1">
      <alignment horizontal="left" wrapText="1"/>
    </xf>
    <xf numFmtId="0" fontId="4" fillId="0" borderId="13" xfId="5" applyNumberFormat="1" applyFont="1" applyBorder="1" applyAlignment="1">
      <alignment horizontal="left" vertical="top" wrapText="1"/>
    </xf>
    <xf numFmtId="0" fontId="4" fillId="0" borderId="15" xfId="5" applyNumberFormat="1" applyFont="1" applyBorder="1" applyAlignment="1">
      <alignment horizontal="left" vertical="top" wrapText="1"/>
    </xf>
    <xf numFmtId="0" fontId="4" fillId="0" borderId="12" xfId="5" applyNumberFormat="1" applyFont="1" applyBorder="1" applyAlignment="1">
      <alignment horizontal="left" vertical="top" wrapText="1"/>
    </xf>
    <xf numFmtId="0" fontId="31" fillId="0" borderId="13" xfId="5" applyNumberFormat="1" applyFont="1" applyBorder="1" applyAlignment="1">
      <alignment horizontal="left" vertical="top" wrapText="1"/>
    </xf>
    <xf numFmtId="0" fontId="31" fillId="0" borderId="15" xfId="5" applyNumberFormat="1" applyFont="1" applyBorder="1" applyAlignment="1">
      <alignment horizontal="left" vertical="top" wrapText="1"/>
    </xf>
    <xf numFmtId="0" fontId="31" fillId="0" borderId="12" xfId="5" applyNumberFormat="1" applyFont="1" applyBorder="1" applyAlignment="1">
      <alignment horizontal="left" vertical="top" wrapText="1"/>
    </xf>
    <xf numFmtId="0" fontId="4" fillId="0" borderId="6" xfId="5" applyNumberFormat="1" applyFont="1" applyBorder="1" applyAlignment="1">
      <alignment horizontal="left" vertical="top" wrapText="1"/>
    </xf>
    <xf numFmtId="0" fontId="4" fillId="0" borderId="8" xfId="5" applyNumberFormat="1" applyFont="1" applyBorder="1" applyAlignment="1">
      <alignment horizontal="left" vertical="top" wrapText="1"/>
    </xf>
    <xf numFmtId="0" fontId="4" fillId="0" borderId="16" xfId="5" applyNumberFormat="1" applyFont="1" applyBorder="1" applyAlignment="1">
      <alignment horizontal="left" vertical="top" wrapText="1"/>
    </xf>
    <xf numFmtId="0" fontId="31" fillId="0" borderId="6" xfId="5" applyNumberFormat="1" applyFont="1" applyBorder="1" applyAlignment="1">
      <alignment horizontal="left" vertical="top" wrapText="1"/>
    </xf>
    <xf numFmtId="0" fontId="31" fillId="0" borderId="8" xfId="5" applyNumberFormat="1" applyFont="1" applyBorder="1" applyAlignment="1">
      <alignment horizontal="left" vertical="top" wrapText="1"/>
    </xf>
    <xf numFmtId="0" fontId="31" fillId="0" borderId="16" xfId="5" applyNumberFormat="1" applyFont="1" applyBorder="1" applyAlignment="1">
      <alignment horizontal="left" vertical="top" wrapText="1"/>
    </xf>
    <xf numFmtId="0" fontId="4" fillId="0" borderId="35" xfId="5" applyNumberFormat="1" applyFont="1" applyBorder="1" applyAlignment="1">
      <alignment horizontal="left" vertical="top" wrapText="1"/>
    </xf>
    <xf numFmtId="0" fontId="4" fillId="0" borderId="36" xfId="5" applyNumberFormat="1" applyFont="1" applyBorder="1" applyAlignment="1">
      <alignment horizontal="left" vertical="top" wrapText="1"/>
    </xf>
    <xf numFmtId="0" fontId="4" fillId="0" borderId="37" xfId="5" applyNumberFormat="1" applyFont="1" applyBorder="1" applyAlignment="1">
      <alignment horizontal="left" vertical="top" wrapText="1"/>
    </xf>
    <xf numFmtId="0" fontId="31" fillId="0" borderId="9" xfId="5" applyNumberFormat="1" applyFont="1" applyBorder="1" applyAlignment="1">
      <alignment horizontal="left" vertical="top" wrapText="1"/>
    </xf>
    <xf numFmtId="0" fontId="31" fillId="0" borderId="11" xfId="5" applyNumberFormat="1" applyFont="1" applyBorder="1" applyAlignment="1">
      <alignment horizontal="left" vertical="top" wrapText="1"/>
    </xf>
    <xf numFmtId="0" fontId="4" fillId="0" borderId="9" xfId="5" applyNumberFormat="1" applyFont="1" applyBorder="1" applyAlignment="1">
      <alignment horizontal="left" vertical="top" wrapText="1"/>
    </xf>
    <xf numFmtId="0" fontId="4" fillId="0" borderId="17" xfId="5" applyNumberFormat="1" applyFont="1" applyBorder="1" applyAlignment="1">
      <alignment horizontal="left" vertical="top" wrapText="1"/>
    </xf>
    <xf numFmtId="0" fontId="4" fillId="0" borderId="11" xfId="5" applyNumberFormat="1" applyFont="1" applyBorder="1" applyAlignment="1">
      <alignment horizontal="left" vertical="top" wrapText="1"/>
    </xf>
    <xf numFmtId="0" fontId="31" fillId="0" borderId="31" xfId="5" applyNumberFormat="1" applyFont="1" applyBorder="1" applyAlignment="1">
      <alignment horizontal="left" vertical="top" wrapText="1"/>
    </xf>
    <xf numFmtId="0" fontId="31" fillId="0" borderId="32" xfId="5" applyNumberFormat="1" applyFont="1" applyBorder="1" applyAlignment="1">
      <alignment horizontal="left" vertical="top" wrapText="1"/>
    </xf>
    <xf numFmtId="0" fontId="31" fillId="0" borderId="33" xfId="5" applyNumberFormat="1" applyFont="1" applyBorder="1" applyAlignment="1">
      <alignment horizontal="left" vertical="top" wrapText="1"/>
    </xf>
    <xf numFmtId="0" fontId="31" fillId="0" borderId="3" xfId="5" applyNumberFormat="1" applyFont="1" applyBorder="1" applyAlignment="1">
      <alignment horizontal="left" vertical="top" wrapText="1"/>
    </xf>
    <xf numFmtId="0" fontId="31" fillId="0" borderId="5" xfId="5" applyNumberFormat="1" applyFont="1" applyBorder="1" applyAlignment="1">
      <alignment horizontal="left" vertical="top" wrapText="1"/>
    </xf>
    <xf numFmtId="0" fontId="4" fillId="0" borderId="3" xfId="5" applyNumberFormat="1" applyFont="1" applyBorder="1" applyAlignment="1">
      <alignment horizontal="left" vertical="top" wrapText="1"/>
    </xf>
    <xf numFmtId="0" fontId="4" fillId="0" borderId="0" xfId="5" applyNumberFormat="1" applyFont="1" applyBorder="1" applyAlignment="1">
      <alignment horizontal="left" vertical="top" wrapText="1"/>
    </xf>
    <xf numFmtId="0" fontId="4" fillId="0" borderId="5" xfId="5" applyNumberFormat="1" applyFont="1" applyBorder="1" applyAlignment="1">
      <alignment horizontal="left" vertical="top" wrapText="1"/>
    </xf>
    <xf numFmtId="0" fontId="4" fillId="0" borderId="27" xfId="5" applyNumberFormat="1" applyFont="1" applyBorder="1" applyAlignment="1">
      <alignment horizontal="center" wrapText="1"/>
    </xf>
    <xf numFmtId="0" fontId="4" fillId="0" borderId="28" xfId="5" applyNumberFormat="1" applyFont="1" applyBorder="1" applyAlignment="1">
      <alignment horizontal="center" wrapText="1"/>
    </xf>
    <xf numFmtId="0" fontId="4" fillId="0" borderId="29" xfId="5" applyNumberFormat="1" applyFont="1" applyBorder="1" applyAlignment="1">
      <alignment horizontal="center" wrapText="1"/>
    </xf>
    <xf numFmtId="0" fontId="4" fillId="0" borderId="25" xfId="5" applyNumberFormat="1" applyFont="1" applyBorder="1" applyAlignment="1">
      <alignment horizontal="left" vertical="top" wrapText="1"/>
    </xf>
    <xf numFmtId="0" fontId="32" fillId="0" borderId="19" xfId="5" applyNumberFormat="1" applyFont="1" applyBorder="1" applyAlignment="1">
      <alignment horizontal="center" vertical="top" wrapText="1"/>
    </xf>
    <xf numFmtId="0" fontId="32" fillId="0" borderId="20" xfId="5" applyNumberFormat="1" applyFont="1" applyBorder="1" applyAlignment="1">
      <alignment horizontal="center" vertical="top" wrapText="1"/>
    </xf>
    <xf numFmtId="0" fontId="32" fillId="0" borderId="26" xfId="5" applyNumberFormat="1" applyFont="1" applyBorder="1" applyAlignment="1">
      <alignment horizontal="center" vertical="top" wrapText="1"/>
    </xf>
    <xf numFmtId="0" fontId="28" fillId="0" borderId="0" xfId="5" applyNumberFormat="1" applyFont="1" applyAlignment="1">
      <alignment horizontal="left" vertical="top" wrapText="1"/>
    </xf>
    <xf numFmtId="0" fontId="29" fillId="0" borderId="0" xfId="5" applyNumberFormat="1" applyFont="1" applyBorder="1" applyAlignment="1">
      <alignment horizontal="right" vertical="top" wrapText="1"/>
    </xf>
    <xf numFmtId="0" fontId="31" fillId="0" borderId="0" xfId="5" applyNumberFormat="1" applyFont="1" applyBorder="1" applyAlignment="1">
      <alignment horizontal="center" vertical="top" wrapText="1"/>
    </xf>
    <xf numFmtId="0" fontId="4" fillId="0" borderId="0" xfId="5" applyNumberFormat="1" applyBorder="1" applyAlignment="1">
      <alignment horizontal="center" vertical="center"/>
    </xf>
    <xf numFmtId="0" fontId="4" fillId="0" borderId="0" xfId="5" applyNumberFormat="1" applyBorder="1" applyAlignment="1">
      <alignment horizontal="left" vertical="top" wrapText="1"/>
    </xf>
    <xf numFmtId="0" fontId="34" fillId="0" borderId="0" xfId="5" applyNumberFormat="1" applyFont="1" applyBorder="1" applyAlignment="1">
      <alignment horizontal="center" vertical="center" wrapText="1"/>
    </xf>
  </cellXfs>
  <cellStyles count="20">
    <cellStyle name="Денежный 2" xfId="1"/>
    <cellStyle name="Денежный 2 2" xfId="2"/>
    <cellStyle name="Денежный 2 3" xfId="3"/>
    <cellStyle name="Денежный 3" xfId="4"/>
    <cellStyle name="Обычный" xfId="0" builtinId="0"/>
    <cellStyle name="Обычный 13" xfId="5"/>
    <cellStyle name="Обычный 2" xfId="6"/>
    <cellStyle name="Обычный 2 2" xfId="7"/>
    <cellStyle name="Обычный 2 3" xfId="8"/>
    <cellStyle name="Обычный 2 3 2" xfId="19"/>
    <cellStyle name="Обычный 2 4" xfId="9"/>
    <cellStyle name="Обычный 3" xfId="10"/>
    <cellStyle name="Обычный 3 2" xfId="11"/>
    <cellStyle name="Обычный 3 3" xfId="12"/>
    <cellStyle name="Обычный 3 4" xfId="13"/>
    <cellStyle name="Обычный 3 5" xfId="14"/>
    <cellStyle name="Обычный 3 5 2" xfId="18"/>
    <cellStyle name="Обычный 4" xfId="15"/>
    <cellStyle name="Процентный 2" xfId="16"/>
    <cellStyle name="Финансовый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serebrova\&#1052;&#1086;&#1080;%20&#1076;&#1086;&#1082;&#1091;&#1084;&#1077;&#1085;&#1090;&#1099;\&#1043;&#1040;&#1047;&#1055;&#1056;&#1054;&#1045;&#1050;&#1058;\&#1056;&#1072;&#1073;&#1086;&#1095;&#1072;&#1103;%20&#1087;&#1072;&#1087;&#1082;&#1072;\&#1058;&#1077;&#1085;&#1076;&#1077;&#1088;&#1099;\&#1043;&#1072;&#1079;&#1087;&#1088;&#1086;&#1084;\&#1052;&#1086;&#1078;&#1075;&#1080;&#1085;&#1089;&#1082;&#1072;&#1103;\&#1056;&#1072;&#1073;&#1086;&#1090;&#1072;-%20&#1042;&#1080;&#1082;&#1072;\&#1041;&#1086;&#1088;&#1086;&#1074;&#1080;&#1085;&#1089;&#1082;&#1080;&#1081;\&#1055;&#1088;&#1086;&#1077;&#1082;&#1090;-&#1050;&#1057;%20&#1040;&#1083;&#1075;&#1072;&#1081;\&#1057;&#1084;&#1077;&#1090;&#1072;_&#1055;&#1048;&#1056;_&#1054;&#1057;&#1054;&#1044;&#1059;-&#1070;&#1058;&#1043;(77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58;&#1077;&#1085;&#1076;&#1077;&#1088;&#1085;&#1072;&#1103;\&#1043;&#1072;&#1079;&#1087;&#1088;&#1086;&#1084;\&#1087;&#1088;&#1080;&#1084;&#1077;&#1088;%20&#1056;&#1077;&#1079;&#1074;&#1086;&#1074;\6_&#1041;&#1086;&#1076;&#1085;&#1072;&#1088;&#1100;\&#1050;&#1055;,%20&#1057;&#1084;&#1077;&#1090;&#1099;%20%20%20v10.20.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serebrova\&#1052;&#1086;&#1080;%20&#1076;&#1086;&#1082;&#1091;&#1084;&#1077;&#1085;&#1090;&#1099;\&#1043;&#1040;&#1047;&#1055;&#1056;&#1054;&#1045;&#1050;&#1058;\&#1056;&#1072;&#1073;&#1086;&#1095;&#1072;&#1103;%20&#1087;&#1072;&#1087;&#1082;&#1072;\&#1058;&#1077;&#1085;&#1076;&#1077;&#1088;&#1099;\&#1043;&#1072;&#1079;&#1087;&#1088;&#1086;&#1084;\&#1091;&#1079;&#1077;&#1083;\&#1056;&#1072;&#1073;&#1086;&#1090;&#1072;-%20&#1042;&#1080;&#1082;&#1072;\&#1041;&#1086;&#1088;&#1086;&#1074;&#1080;&#1085;&#1089;&#1082;&#1080;&#1081;\&#1055;&#1088;&#1086;&#1077;&#1082;&#1090;-&#1050;&#1057;%20&#1040;&#1083;&#1075;&#1072;&#1081;\&#1057;&#1084;&#1077;&#1090;&#1072;_&#1055;&#1048;&#1056;_&#1054;&#1057;&#1054;&#1044;&#1059;-&#1070;&#1058;&#1043;(77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ctor\&#1055;&#1072;&#1087;&#1082;&#1080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ctor\&#1055;&#1072;&#1087;&#1082;&#1080;\Macros\Ma&#1089;ros-&#1058;&#1055;\MacrosFiles-&#1058;&#1055;\MT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ctor\&#1055;&#1072;&#1087;&#1082;&#1080;\My%20documents\&#1058;&#1077;&#1082;&#1091;&#1097;&#1080;&#1077;%20&#1073;&#1072;&#1079;&#1099;\&#1041;&#1053;&#1055;_&#1090;&#1077;&#1082;&#1091;&#1097;&#1072;&#1103;%20&#1073;&#1072;&#1079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solovei\&#1052;&#1086;&#1080;%20&#1076;&#1086;&#1082;&#1091;&#1084;&#1077;&#1085;&#1090;&#1099;\&#1056;&#1072;&#1073;&#1086;&#1090;&#1072;-%20&#1042;&#1080;&#1082;&#1072;\&#1041;&#1086;&#1088;&#1086;&#1074;&#1080;&#1085;&#1089;&#1082;&#1080;&#1081;\&#1055;&#1088;&#1086;&#1077;&#1082;&#1090;-&#1050;&#1057;%20&#1040;&#1083;&#1075;&#1072;&#1081;\&#1057;&#1084;&#1077;&#1090;&#1072;_&#1055;&#1048;&#1056;_&#1054;&#1057;&#1054;&#1044;&#1059;-&#1070;&#1058;&#1043;(77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РП"/>
      <sheetName val="См 1 наруж.водопровод"/>
      <sheetName val="Обновление"/>
      <sheetName val="Цена"/>
      <sheetName val="Product"/>
      <sheetName val="Шкаф"/>
      <sheetName val="Коэфф1."/>
      <sheetName val="Прайс лист"/>
      <sheetName val="График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свод 2"/>
      <sheetName val="Табл38-7"/>
      <sheetName val="вариант"/>
      <sheetName val="Разработка проекта"/>
      <sheetName val="ПДР"/>
      <sheetName val="КП НовоКов"/>
      <sheetName val="Summary"/>
      <sheetName val="sapactivexlhiddensheet"/>
      <sheetName val="Счет-Фактура"/>
      <sheetName val="Переменные и константы"/>
      <sheetName val="ПД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МЕТА проект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СметаСводная 1 оч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пятилетка"/>
      <sheetName val="мониторинг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Баланс (Ф1)"/>
      <sheetName val="К"/>
      <sheetName val="изыскания 2"/>
      <sheetName val="Калплан Кра"/>
      <sheetName val="Материалы"/>
      <sheetName val="Полигон - ИЭИ "/>
      <sheetName val="Ком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лч и кам"/>
      <sheetName val="№1"/>
      <sheetName val="Общ"/>
      <sheetName val="Пра_x0000_с_лист"/>
      <sheetName val="BACT"/>
      <sheetName val="Сводная "/>
      <sheetName val="7.ТХ Сети (кор)"/>
      <sheetName val="Tier 311208"/>
      <sheetName val="свод_ИИР"/>
      <sheetName val="Акт выбора"/>
      <sheetName val="исключ ЭХЗ"/>
      <sheetName val="БДР"/>
      <sheetName val="РСС_АУ"/>
      <sheetName val="Раб.АУ"/>
      <sheetName val="См.№7 Эл."/>
      <sheetName val="См.№8 Пож."/>
      <sheetName val="См.№3 ВиК"/>
      <sheetName val="Сметы за сопровождение"/>
      <sheetName val="КБК ДПК"/>
      <sheetName val="геол"/>
      <sheetName val="ПС 110 кВ (доп)"/>
      <sheetName val="W28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Списки"/>
      <sheetName val="ПДР"/>
      <sheetName val="DATA"/>
      <sheetName val="см8"/>
      <sheetName val="вариант"/>
      <sheetName val="6.14_КР"/>
      <sheetName val="Обновление"/>
      <sheetName val="Цена"/>
      <sheetName val="Product"/>
      <sheetName val="Прилож"/>
      <sheetName val="Нормы"/>
      <sheetName val="Текущие цены"/>
      <sheetName val="рабочий"/>
      <sheetName val="окраска"/>
      <sheetName val="Summary"/>
      <sheetName val="свод 2"/>
      <sheetName val="Зап-3- СЦБ"/>
      <sheetName val="все"/>
      <sheetName val="Табл38-7"/>
      <sheetName val="Кредиты"/>
      <sheetName val="Пример расчета"/>
      <sheetName val="СметаСводная Рыб"/>
      <sheetName val="информация"/>
      <sheetName val="13.1"/>
      <sheetName val="отчет эл_эн  2000"/>
      <sheetName val="к.84-к.83"/>
      <sheetName val="Счет-Фактура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.рын"/>
      <sheetName val="Сводная смета"/>
      <sheetName val="sapactivexlhiddensheet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Lucent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BACT"/>
      <sheetName val="АСУ-линия-1"/>
      <sheetName val="ТЗ АСУ-1"/>
      <sheetName val="2-stage"/>
      <sheetName val="лч и кам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Норм"/>
      <sheetName val="ИД СМР"/>
      <sheetName val="ФОТ для смет"/>
      <sheetName val="ЛС_РЕС"/>
      <sheetName val="Общ"/>
      <sheetName val="_x0000__x0000_"/>
      <sheetName val="таблица_руко_x0019__x0015_ _x0003__x000c__x0011__x0011_"/>
      <sheetName val="КБК ДПК"/>
      <sheetName val="эл_химз_2"/>
      <sheetName val="ПС_x0000__x0000__x0000__x0000__x0000__x0000_"/>
      <sheetName val="Вспом."/>
      <sheetName val="УКП"/>
      <sheetName val="БД"/>
      <sheetName val="Лист4"/>
      <sheetName val="Общий"/>
      <sheetName val="ТабР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исх-данные"/>
      <sheetName val="Main list"/>
      <sheetName val="ПД-2.2"/>
      <sheetName val="6"/>
      <sheetName val="1.14"/>
      <sheetName val="1.7"/>
      <sheetName val="#ССЫЛКА"/>
      <sheetName val="СМ"/>
      <sheetName val="СМИ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Проектов (2007)"/>
      <sheetName val="Св"/>
      <sheetName val="1"/>
      <sheetName val="1 (2)"/>
      <sheetName val="1 (3)"/>
      <sheetName val="1 (4)"/>
      <sheetName val="1 (5)"/>
    </sheetNames>
    <sheetDataSet>
      <sheetData sheetId="0"/>
      <sheetData sheetId="1"/>
      <sheetData sheetId="2">
        <row r="12">
          <cell r="I12" t="str">
            <v xml:space="preserve">3.1. I степень </v>
          </cell>
        </row>
        <row r="13">
          <cell r="I13" t="str">
            <v xml:space="preserve">3.2. II степень </v>
          </cell>
        </row>
        <row r="14">
          <cell r="I14" t="str">
            <v xml:space="preserve">3.3. III степень </v>
          </cell>
        </row>
        <row r="15">
          <cell r="I15" t="str">
            <v xml:space="preserve">3.4. IV степень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"/>
      <sheetName val="КП"/>
      <sheetName val="Свод"/>
      <sheetName val="1"/>
      <sheetName val="2"/>
      <sheetName val="3"/>
      <sheetName val="4"/>
      <sheetName val="5"/>
      <sheetName val="6"/>
      <sheetName val="7"/>
      <sheetName val="8"/>
      <sheetName val="9"/>
      <sheetName val="Эксперт"/>
      <sheetName val="ГГЦ_10"/>
      <sheetName val="ГПИ_11"/>
      <sheetName val="ГПИ_11 (1)"/>
      <sheetName val="ГПИ_11 (2)"/>
      <sheetName val="ГПИ_11 (3)"/>
      <sheetName val="ГПИ_11 (4)"/>
    </sheetNames>
    <sheetDataSet>
      <sheetData sheetId="0">
        <row r="15">
          <cell r="C15" t="str">
            <v>С.А. Романов</v>
          </cell>
        </row>
        <row r="16">
          <cell r="C16" t="str">
            <v>ООО «Газпром трансгаз Томск»</v>
          </cell>
        </row>
        <row r="19">
          <cell r="C19" t="str">
            <v>Заместитель генерального директора по капитальному строительству и ремонту А.И. Титов</v>
          </cell>
        </row>
        <row r="20">
          <cell r="C20" t="str">
            <v>Е.В. Боднарь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Проектов (2007)"/>
      <sheetName val="Св"/>
      <sheetName val="1"/>
      <sheetName val="1 (2)"/>
      <sheetName val="1 (3)"/>
      <sheetName val="1 (4)"/>
      <sheetName val="1 (5)"/>
    </sheetNames>
    <sheetDataSet>
      <sheetData sheetId="0"/>
      <sheetData sheetId="1"/>
      <sheetData sheetId="2">
        <row r="12">
          <cell r="I12" t="str">
            <v xml:space="preserve">3.1. I степень </v>
          </cell>
        </row>
        <row r="13">
          <cell r="I13" t="str">
            <v xml:space="preserve">3.2. II степень </v>
          </cell>
        </row>
        <row r="14">
          <cell r="I14" t="str">
            <v xml:space="preserve">3.3. III степень </v>
          </cell>
        </row>
        <row r="15">
          <cell r="I15" t="str">
            <v xml:space="preserve">3.4. IV степень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Смета"/>
      <sheetName val="Курс доллар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талон"/>
      <sheetName val="эталон_new"/>
      <sheetName val="старый эталон"/>
      <sheetName val="шаблон"/>
      <sheetName val="информация"/>
    </sheetNames>
    <sheetDataSet>
      <sheetData sheetId="0"/>
      <sheetData sheetId="1"/>
      <sheetData sheetId="2"/>
      <sheetData sheetId="3">
        <row r="1">
          <cell r="E1" t="str">
            <v>Стадия оформления договора</v>
          </cell>
          <cell r="G1" t="str">
            <v>Стадия проектирования</v>
          </cell>
        </row>
        <row r="2">
          <cell r="E2">
            <v>5</v>
          </cell>
          <cell r="G2">
            <v>7</v>
          </cell>
        </row>
        <row r="3">
          <cell r="E3" t="str">
            <v>заявлен</v>
          </cell>
          <cell r="G3" t="str">
            <v>ИЗ</v>
          </cell>
        </row>
        <row r="4">
          <cell r="E4" t="str">
            <v>на оформлении</v>
          </cell>
          <cell r="G4" t="str">
            <v>ИЗ + РП</v>
          </cell>
        </row>
        <row r="5">
          <cell r="E5" t="str">
            <v>подписан</v>
          </cell>
          <cell r="G5" t="str">
            <v>ИЗ + РД</v>
          </cell>
        </row>
        <row r="6">
          <cell r="E6" t="str">
            <v>заявлен / приостановлен</v>
          </cell>
          <cell r="G6" t="str">
            <v>РП</v>
          </cell>
        </row>
        <row r="7">
          <cell r="E7" t="str">
            <v>на оформлении / приостановлен</v>
          </cell>
          <cell r="G7" t="str">
            <v>РП + согл</v>
          </cell>
        </row>
        <row r="8">
          <cell r="E8" t="str">
            <v>подписан / приостановлен</v>
          </cell>
          <cell r="G8" t="str">
            <v>РД</v>
          </cell>
        </row>
        <row r="9">
          <cell r="E9" t="str">
            <v>подписан / на расторжении</v>
          </cell>
          <cell r="G9" t="str">
            <v>РД + согл</v>
          </cell>
        </row>
        <row r="10">
          <cell r="G10" t="str">
            <v>согл</v>
          </cell>
        </row>
        <row r="11">
          <cell r="G11" t="str">
            <v>ТЭО</v>
          </cell>
        </row>
        <row r="12">
          <cell r="G12" t="str">
            <v>УЧ</v>
          </cell>
        </row>
        <row r="13">
          <cell r="G13" t="str">
            <v>НИОКР</v>
          </cell>
        </row>
        <row r="14">
          <cell r="G14" t="str">
            <v>АН</v>
          </cell>
        </row>
        <row r="15">
          <cell r="G15" t="str">
            <v>ТД</v>
          </cell>
        </row>
        <row r="16">
          <cell r="G16" t="str">
            <v>ТехД</v>
          </cell>
        </row>
        <row r="17">
          <cell r="G17" t="str">
            <v>ОИ</v>
          </cell>
        </row>
        <row r="18">
          <cell r="G18" t="str">
            <v>ДОН</v>
          </cell>
        </row>
        <row r="19">
          <cell r="G19" t="str">
            <v>ТЭР</v>
          </cell>
        </row>
        <row r="20">
          <cell r="G20" t="str">
            <v>эксп</v>
          </cell>
        </row>
        <row r="21">
          <cell r="G21" t="str">
            <v>ЧТЗ</v>
          </cell>
        </row>
        <row r="22">
          <cell r="G22" t="str">
            <v>ПРОЧ</v>
          </cell>
        </row>
        <row r="23">
          <cell r="G23" t="str">
            <v>ТПр</v>
          </cell>
        </row>
        <row r="24">
          <cell r="G24" t="str">
            <v>АТТ</v>
          </cell>
        </row>
      </sheetData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ГИП"/>
      <sheetName val="ОРФиСО"/>
      <sheetName val="Филиалы"/>
      <sheetName val="анн"/>
      <sheetName val="связи"/>
      <sheetName val="информация"/>
      <sheetName val="шаблон"/>
      <sheetName val="топография"/>
      <sheetName val="Смета _4ПР ЭХЗ"/>
    </sheetNames>
    <sheetDataSet>
      <sheetData sheetId="0">
        <row r="8">
          <cell r="B8">
            <v>39426.518341319446</v>
          </cell>
        </row>
      </sheetData>
      <sheetData sheetId="1"/>
      <sheetData sheetId="2"/>
      <sheetData sheetId="3"/>
      <sheetData sheetId="4">
        <row r="8">
          <cell r="B8">
            <v>39426.518341319446</v>
          </cell>
        </row>
      </sheetData>
      <sheetData sheetId="5">
        <row r="8">
          <cell r="B8">
            <v>39426.518341319446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Проектов (2007)"/>
      <sheetName val="Св"/>
      <sheetName val="1"/>
      <sheetName val="1 (2)"/>
      <sheetName val="1 (3)"/>
      <sheetName val="1 (4)"/>
      <sheetName val="1 (5)"/>
    </sheetNames>
    <sheetDataSet>
      <sheetData sheetId="0"/>
      <sheetData sheetId="1"/>
      <sheetData sheetId="2">
        <row r="12">
          <cell r="I12" t="str">
            <v xml:space="preserve">3.1. I степень </v>
          </cell>
        </row>
        <row r="13">
          <cell r="I13" t="str">
            <v xml:space="preserve">3.2. II степень </v>
          </cell>
        </row>
        <row r="14">
          <cell r="I14" t="str">
            <v xml:space="preserve">3.3. III степень </v>
          </cell>
        </row>
        <row r="15">
          <cell r="I15" t="str">
            <v xml:space="preserve">3.4. IV степень 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zoomScale="130" zoomScaleNormal="130" workbookViewId="0">
      <selection activeCell="E6" sqref="E6:F9"/>
    </sheetView>
  </sheetViews>
  <sheetFormatPr defaultColWidth="10.85546875" defaultRowHeight="12.75" x14ac:dyDescent="0.2"/>
  <cols>
    <col min="1" max="1" width="6.85546875" style="23" customWidth="1"/>
    <col min="2" max="2" width="37.42578125" style="23" customWidth="1"/>
    <col min="3" max="3" width="5.5703125" style="23" customWidth="1"/>
    <col min="4" max="4" width="16.85546875" style="23" customWidth="1"/>
    <col min="5" max="5" width="8.85546875" style="23" customWidth="1"/>
    <col min="6" max="6" width="15.28515625" style="23" customWidth="1"/>
    <col min="7" max="7" width="17.42578125" style="23" customWidth="1"/>
    <col min="8" max="8" width="14.28515625" style="23" customWidth="1"/>
    <col min="9" max="9" width="12.140625" style="23" customWidth="1"/>
    <col min="10" max="249" width="8.85546875" style="23" customWidth="1"/>
    <col min="250" max="250" width="6.85546875" style="23" customWidth="1"/>
    <col min="251" max="251" width="39" style="23" customWidth="1"/>
    <col min="252" max="252" width="5.5703125" style="23" customWidth="1"/>
    <col min="253" max="253" width="13.7109375" style="23" customWidth="1"/>
    <col min="254" max="254" width="8.85546875" style="23" customWidth="1"/>
    <col min="255" max="255" width="13.28515625" style="23" customWidth="1"/>
    <col min="256" max="16384" width="10.85546875" style="23"/>
  </cols>
  <sheetData>
    <row r="1" spans="1:11" s="1" customFormat="1" ht="15" x14ac:dyDescent="0.25">
      <c r="A1" s="289"/>
      <c r="B1" s="289"/>
      <c r="C1" s="289"/>
      <c r="D1" s="289"/>
      <c r="E1" s="289"/>
      <c r="F1" s="289"/>
    </row>
    <row r="2" spans="1:11" s="1" customFormat="1" ht="15" x14ac:dyDescent="0.25">
      <c r="A2" s="290" t="s">
        <v>77</v>
      </c>
      <c r="B2" s="290"/>
      <c r="C2" s="290"/>
      <c r="D2" s="290"/>
      <c r="E2" s="290"/>
      <c r="F2" s="290"/>
    </row>
    <row r="3" spans="1:11" s="1" customFormat="1" ht="15" x14ac:dyDescent="0.25"/>
    <row r="4" spans="1:11" s="1" customFormat="1" ht="33.75" customHeight="1" x14ac:dyDescent="0.25">
      <c r="A4" s="287" t="s">
        <v>397</v>
      </c>
      <c r="B4" s="288"/>
      <c r="C4" s="288"/>
      <c r="D4" s="288"/>
      <c r="E4" s="288"/>
      <c r="F4" s="288"/>
    </row>
    <row r="5" spans="1:11" s="1" customFormat="1" ht="48" customHeight="1" x14ac:dyDescent="0.25">
      <c r="A5" s="2" t="s">
        <v>78</v>
      </c>
      <c r="B5" s="2" t="s">
        <v>40</v>
      </c>
      <c r="C5" s="291" t="s">
        <v>79</v>
      </c>
      <c r="D5" s="292"/>
      <c r="E5" s="291" t="s">
        <v>80</v>
      </c>
      <c r="F5" s="292"/>
      <c r="G5" s="3"/>
      <c r="H5" s="4"/>
    </row>
    <row r="6" spans="1:11" s="1" customFormat="1" ht="15" x14ac:dyDescent="0.25">
      <c r="A6" s="34">
        <v>1</v>
      </c>
      <c r="B6" s="32" t="s">
        <v>141</v>
      </c>
      <c r="C6" s="275" t="s">
        <v>142</v>
      </c>
      <c r="D6" s="276"/>
      <c r="E6" s="278">
        <f>Геодезия!R19</f>
        <v>4023902.3736047493</v>
      </c>
      <c r="F6" s="276"/>
      <c r="G6" s="36"/>
      <c r="H6" s="4"/>
    </row>
    <row r="7" spans="1:11" s="1" customFormat="1" ht="15" x14ac:dyDescent="0.25">
      <c r="A7" s="34">
        <v>2</v>
      </c>
      <c r="B7" s="32" t="s">
        <v>137</v>
      </c>
      <c r="C7" s="275" t="s">
        <v>143</v>
      </c>
      <c r="D7" s="276"/>
      <c r="E7" s="278">
        <f>Геология!G40</f>
        <v>3164052.6150000002</v>
      </c>
      <c r="F7" s="276"/>
      <c r="G7" s="3"/>
      <c r="H7" s="4"/>
    </row>
    <row r="8" spans="1:11" s="1" customFormat="1" ht="15" x14ac:dyDescent="0.25">
      <c r="A8" s="9">
        <v>3</v>
      </c>
      <c r="B8" s="32" t="s">
        <v>82</v>
      </c>
      <c r="C8" s="275" t="s">
        <v>81</v>
      </c>
      <c r="D8" s="276"/>
      <c r="E8" s="278">
        <f>Экология!H76</f>
        <v>3729414.9505542768</v>
      </c>
      <c r="F8" s="276"/>
      <c r="G8" s="5"/>
      <c r="H8" s="6"/>
      <c r="I8" s="7"/>
    </row>
    <row r="9" spans="1:11" s="1" customFormat="1" ht="30" x14ac:dyDescent="0.25">
      <c r="A9" s="34">
        <v>4</v>
      </c>
      <c r="B9" s="33" t="s">
        <v>86</v>
      </c>
      <c r="C9" s="275" t="s">
        <v>83</v>
      </c>
      <c r="D9" s="276"/>
      <c r="E9" s="278">
        <f>Гидрометеорология!G37</f>
        <v>1057286</v>
      </c>
      <c r="F9" s="276"/>
      <c r="G9" s="8"/>
      <c r="H9" s="6"/>
      <c r="I9" s="7"/>
    </row>
    <row r="10" spans="1:11" s="1" customFormat="1" ht="30" x14ac:dyDescent="0.25">
      <c r="A10" s="9">
        <v>5</v>
      </c>
      <c r="B10" s="33" t="s">
        <v>89</v>
      </c>
      <c r="C10" s="275" t="s">
        <v>87</v>
      </c>
      <c r="D10" s="276"/>
      <c r="E10" s="278">
        <f>'ППТ и ПМТ'!E23</f>
        <v>3548053.0976800001</v>
      </c>
      <c r="F10" s="276"/>
      <c r="G10" s="8"/>
      <c r="H10" s="6"/>
      <c r="I10" s="7"/>
    </row>
    <row r="11" spans="1:11" s="1" customFormat="1" ht="90.75" customHeight="1" x14ac:dyDescent="0.25">
      <c r="A11" s="34">
        <v>6</v>
      </c>
      <c r="B11" s="33" t="s">
        <v>368</v>
      </c>
      <c r="C11" s="275" t="s">
        <v>88</v>
      </c>
      <c r="D11" s="276"/>
      <c r="E11" s="278">
        <f>археология!H17</f>
        <v>4815237.68</v>
      </c>
      <c r="F11" s="276"/>
      <c r="G11" s="8"/>
      <c r="H11" s="6"/>
      <c r="I11" s="7"/>
    </row>
    <row r="12" spans="1:11" s="1" customFormat="1" ht="16.5" customHeight="1" x14ac:dyDescent="0.25">
      <c r="A12" s="9">
        <v>7</v>
      </c>
      <c r="B12" s="32" t="s">
        <v>366</v>
      </c>
      <c r="C12" s="275" t="s">
        <v>363</v>
      </c>
      <c r="D12" s="276"/>
      <c r="E12" s="278">
        <f>ПД!I74</f>
        <v>4942701</v>
      </c>
      <c r="F12" s="286"/>
      <c r="G12" s="8"/>
      <c r="H12" s="6"/>
      <c r="I12" s="7"/>
    </row>
    <row r="13" spans="1:11" s="1" customFormat="1" ht="18.75" customHeight="1" x14ac:dyDescent="0.25">
      <c r="A13" s="34">
        <v>8</v>
      </c>
      <c r="B13" s="32" t="s">
        <v>365</v>
      </c>
      <c r="C13" s="275" t="s">
        <v>364</v>
      </c>
      <c r="D13" s="276"/>
      <c r="E13" s="278">
        <f>РД!I61</f>
        <v>5294682</v>
      </c>
      <c r="F13" s="286"/>
      <c r="G13" s="8"/>
      <c r="H13" s="6"/>
      <c r="I13" s="7"/>
    </row>
    <row r="14" spans="1:11" s="1" customFormat="1" ht="15" x14ac:dyDescent="0.25">
      <c r="A14" s="35"/>
      <c r="B14" s="283" t="s">
        <v>84</v>
      </c>
      <c r="C14" s="284"/>
      <c r="D14" s="285"/>
      <c r="E14" s="273">
        <f>SUM(E6:E13)</f>
        <v>30575329.716839027</v>
      </c>
      <c r="F14" s="274"/>
      <c r="G14" s="8"/>
      <c r="H14" s="6"/>
      <c r="I14" s="7"/>
    </row>
    <row r="15" spans="1:11" s="1" customFormat="1" ht="15" x14ac:dyDescent="0.25">
      <c r="A15" s="35"/>
      <c r="B15" s="283" t="s">
        <v>135</v>
      </c>
      <c r="C15" s="284"/>
      <c r="D15" s="285"/>
      <c r="E15" s="273">
        <f>E14*0.2</f>
        <v>6115065.9433678053</v>
      </c>
      <c r="F15" s="274"/>
      <c r="G15" s="8"/>
      <c r="H15" s="6"/>
      <c r="I15" s="7"/>
    </row>
    <row r="16" spans="1:11" s="14" customFormat="1" ht="15" x14ac:dyDescent="0.2">
      <c r="A16" s="10"/>
      <c r="B16" s="279" t="s">
        <v>42</v>
      </c>
      <c r="C16" s="280"/>
      <c r="D16" s="281"/>
      <c r="E16" s="273">
        <f>E15+E14</f>
        <v>36690395.660206832</v>
      </c>
      <c r="F16" s="274"/>
      <c r="G16" s="31"/>
      <c r="H16" s="11"/>
      <c r="I16" s="11"/>
      <c r="J16" s="12"/>
      <c r="K16" s="13"/>
    </row>
    <row r="17" spans="1:8" s="1" customFormat="1" ht="30" customHeight="1" x14ac:dyDescent="0.25">
      <c r="A17" s="16"/>
      <c r="B17" s="16"/>
      <c r="C17" s="17"/>
      <c r="D17" s="17"/>
      <c r="E17" s="15"/>
      <c r="G17" s="18"/>
      <c r="H17" s="19"/>
    </row>
    <row r="18" spans="1:8" s="1" customFormat="1" ht="21" customHeight="1" x14ac:dyDescent="0.25">
      <c r="B18" s="30"/>
      <c r="G18" s="20"/>
      <c r="H18" s="21"/>
    </row>
    <row r="19" spans="1:8" s="1" customFormat="1" ht="15" x14ac:dyDescent="0.25">
      <c r="A19" s="22"/>
      <c r="B19" s="282"/>
      <c r="C19" s="282"/>
      <c r="D19" s="282"/>
      <c r="E19" s="282"/>
      <c r="F19" s="282"/>
    </row>
    <row r="20" spans="1:8" s="1" customFormat="1" ht="15" x14ac:dyDescent="0.25">
      <c r="A20" s="22"/>
      <c r="B20" s="22"/>
      <c r="C20" s="22"/>
      <c r="D20" s="22"/>
      <c r="E20" s="22"/>
      <c r="F20" s="22"/>
    </row>
    <row r="21" spans="1:8" s="1" customFormat="1" ht="15" x14ac:dyDescent="0.25">
      <c r="A21" s="22"/>
      <c r="B21" s="22"/>
      <c r="C21" s="22"/>
      <c r="D21" s="22"/>
      <c r="E21" s="22"/>
      <c r="F21" s="22"/>
    </row>
    <row r="22" spans="1:8" s="1" customFormat="1" ht="15" x14ac:dyDescent="0.25">
      <c r="A22" s="22" t="s">
        <v>85</v>
      </c>
      <c r="B22" s="277"/>
      <c r="C22" s="277"/>
      <c r="D22" s="277"/>
      <c r="E22" s="277"/>
      <c r="F22" s="277"/>
    </row>
    <row r="23" spans="1:8" s="1" customFormat="1" ht="15" x14ac:dyDescent="0.25"/>
    <row r="24" spans="1:8" s="1" customFormat="1" ht="15" x14ac:dyDescent="0.25">
      <c r="A24" s="23"/>
      <c r="B24" s="23"/>
      <c r="C24" s="23"/>
      <c r="D24" s="23"/>
      <c r="E24" s="23"/>
      <c r="F24" s="23"/>
    </row>
  </sheetData>
  <mergeCells count="29">
    <mergeCell ref="A4:F4"/>
    <mergeCell ref="B14:D14"/>
    <mergeCell ref="A1:F1"/>
    <mergeCell ref="A2:F2"/>
    <mergeCell ref="E7:F7"/>
    <mergeCell ref="C9:D9"/>
    <mergeCell ref="E9:F9"/>
    <mergeCell ref="C8:D8"/>
    <mergeCell ref="E8:F8"/>
    <mergeCell ref="C5:D5"/>
    <mergeCell ref="E5:F5"/>
    <mergeCell ref="C11:D11"/>
    <mergeCell ref="E11:F11"/>
    <mergeCell ref="E6:F6"/>
    <mergeCell ref="E15:F15"/>
    <mergeCell ref="E14:F14"/>
    <mergeCell ref="C6:D6"/>
    <mergeCell ref="C7:D7"/>
    <mergeCell ref="B22:F22"/>
    <mergeCell ref="C10:D10"/>
    <mergeCell ref="E10:F10"/>
    <mergeCell ref="B16:D16"/>
    <mergeCell ref="E16:F16"/>
    <mergeCell ref="B19:F19"/>
    <mergeCell ref="B15:D15"/>
    <mergeCell ref="C12:D12"/>
    <mergeCell ref="E12:F12"/>
    <mergeCell ref="E13:F13"/>
    <mergeCell ref="C13:D13"/>
  </mergeCells>
  <pageMargins left="1.08" right="0.17" top="0.27559055118110237" bottom="0.15748031496062992" header="0.23622047244094488" footer="0.15748031496062992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zoomScaleNormal="100" zoomScaleSheetLayoutView="115" workbookViewId="0">
      <selection activeCell="A4" sqref="A4:R4"/>
    </sheetView>
  </sheetViews>
  <sheetFormatPr defaultRowHeight="12.75" x14ac:dyDescent="0.2"/>
  <cols>
    <col min="1" max="1" width="4.42578125" style="39" customWidth="1"/>
    <col min="2" max="2" width="32.85546875" style="39" customWidth="1"/>
    <col min="3" max="3" width="16.42578125" style="39" customWidth="1"/>
    <col min="4" max="4" width="2.7109375" style="39" customWidth="1"/>
    <col min="5" max="5" width="11.5703125" style="83" customWidth="1"/>
    <col min="6" max="6" width="2.7109375" style="39" customWidth="1"/>
    <col min="7" max="7" width="10.5703125" style="83" customWidth="1"/>
    <col min="8" max="8" width="2.7109375" style="39" customWidth="1"/>
    <col min="9" max="9" width="6.28515625" style="83" customWidth="1"/>
    <col min="10" max="10" width="2.7109375" style="39" customWidth="1"/>
    <col min="11" max="11" width="6" style="83" customWidth="1"/>
    <col min="12" max="12" width="2.7109375" style="39" customWidth="1"/>
    <col min="13" max="13" width="7.28515625" style="83" customWidth="1"/>
    <col min="14" max="14" width="2.7109375" style="39" customWidth="1"/>
    <col min="15" max="15" width="4.140625" style="39" customWidth="1"/>
    <col min="16" max="16" width="2.7109375" style="39" customWidth="1"/>
    <col min="17" max="17" width="2.28515625" style="39" customWidth="1"/>
    <col min="18" max="18" width="18.7109375" style="39" customWidth="1"/>
    <col min="19" max="16384" width="9.140625" style="39"/>
  </cols>
  <sheetData>
    <row r="1" spans="1:18" s="37" customFormat="1" ht="15" customHeight="1" x14ac:dyDescent="0.2">
      <c r="A1" s="295" t="s">
        <v>118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</row>
    <row r="2" spans="1:18" s="37" customFormat="1" x14ac:dyDescent="0.2">
      <c r="A2" s="295" t="s">
        <v>119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</row>
    <row r="3" spans="1:18" s="37" customFormat="1" x14ac:dyDescent="0.2">
      <c r="A3" s="296" t="s">
        <v>397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</row>
    <row r="4" spans="1:18" s="37" customFormat="1" x14ac:dyDescent="0.2">
      <c r="A4" s="297" t="s">
        <v>74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</row>
    <row r="5" spans="1:18" s="37" customFormat="1" x14ac:dyDescent="0.2">
      <c r="A5" s="298" t="s">
        <v>75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</row>
    <row r="6" spans="1:18" ht="27" customHeight="1" x14ac:dyDescent="0.2">
      <c r="A6" s="293" t="s">
        <v>120</v>
      </c>
      <c r="B6" s="293" t="s">
        <v>121</v>
      </c>
      <c r="C6" s="293" t="s">
        <v>122</v>
      </c>
      <c r="D6" s="299" t="s">
        <v>123</v>
      </c>
      <c r="E6" s="300"/>
      <c r="F6" s="300"/>
      <c r="G6" s="300"/>
      <c r="H6" s="300"/>
      <c r="I6" s="300"/>
      <c r="J6" s="300"/>
      <c r="K6" s="300"/>
      <c r="L6" s="300"/>
      <c r="M6" s="300"/>
      <c r="N6" s="300"/>
      <c r="O6" s="300"/>
      <c r="P6" s="300"/>
      <c r="Q6" s="301"/>
      <c r="R6" s="38" t="s">
        <v>35</v>
      </c>
    </row>
    <row r="7" spans="1:18" ht="15" customHeight="1" x14ac:dyDescent="0.2">
      <c r="A7" s="294"/>
      <c r="B7" s="294"/>
      <c r="C7" s="294"/>
      <c r="D7" s="302"/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4"/>
      <c r="R7" s="40" t="s">
        <v>124</v>
      </c>
    </row>
    <row r="8" spans="1:18" ht="30.75" customHeight="1" x14ac:dyDescent="0.2">
      <c r="A8" s="305" t="s">
        <v>125</v>
      </c>
      <c r="B8" s="306"/>
      <c r="C8" s="306"/>
      <c r="D8" s="306"/>
      <c r="E8" s="306"/>
      <c r="F8" s="306"/>
      <c r="G8" s="306"/>
      <c r="H8" s="306"/>
      <c r="I8" s="306"/>
      <c r="J8" s="306"/>
      <c r="K8" s="306"/>
      <c r="L8" s="306"/>
      <c r="M8" s="306"/>
      <c r="N8" s="306"/>
      <c r="O8" s="306"/>
      <c r="P8" s="306"/>
      <c r="Q8" s="306"/>
      <c r="R8" s="307"/>
    </row>
    <row r="9" spans="1:18" x14ac:dyDescent="0.2">
      <c r="A9" s="41"/>
      <c r="B9" s="310" t="s">
        <v>37</v>
      </c>
      <c r="C9" s="310"/>
      <c r="D9" s="310"/>
      <c r="E9" s="310"/>
      <c r="F9" s="310"/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1"/>
    </row>
    <row r="10" spans="1:18" ht="22.5" customHeight="1" x14ac:dyDescent="0.2">
      <c r="A10" s="312">
        <v>1</v>
      </c>
      <c r="B10" s="315" t="s">
        <v>367</v>
      </c>
      <c r="C10" s="318" t="s">
        <v>323</v>
      </c>
      <c r="D10" s="42"/>
      <c r="E10" s="43">
        <v>1814</v>
      </c>
      <c r="F10" s="43" t="s">
        <v>126</v>
      </c>
      <c r="G10" s="43">
        <v>140</v>
      </c>
      <c r="H10" s="43" t="s">
        <v>126</v>
      </c>
      <c r="I10" s="43">
        <v>1.55</v>
      </c>
      <c r="J10" s="43" t="s">
        <v>126</v>
      </c>
      <c r="K10" s="44">
        <v>1.1499999999999999</v>
      </c>
      <c r="L10" s="43"/>
      <c r="M10" s="43"/>
      <c r="N10" s="43"/>
      <c r="O10" s="43"/>
      <c r="P10" s="43"/>
      <c r="Q10" s="45"/>
      <c r="R10" s="46">
        <f>E10*G10*I10*K10</f>
        <v>452683.69999999995</v>
      </c>
    </row>
    <row r="11" spans="1:18" x14ac:dyDescent="0.2">
      <c r="A11" s="313"/>
      <c r="B11" s="316"/>
      <c r="C11" s="319"/>
      <c r="D11" s="47"/>
      <c r="E11" s="48">
        <v>587</v>
      </c>
      <c r="F11" s="48" t="s">
        <v>126</v>
      </c>
      <c r="G11" s="48">
        <f>G10</f>
        <v>140</v>
      </c>
      <c r="H11" s="48" t="s">
        <v>126</v>
      </c>
      <c r="I11" s="48">
        <v>1.2</v>
      </c>
      <c r="J11" s="48" t="s">
        <v>126</v>
      </c>
      <c r="K11" s="49">
        <v>1.1000000000000001</v>
      </c>
      <c r="L11" s="48" t="s">
        <v>126</v>
      </c>
      <c r="M11" s="48">
        <v>1.1499999999999999</v>
      </c>
      <c r="N11" s="48"/>
      <c r="O11" s="48"/>
      <c r="P11" s="48"/>
      <c r="Q11" s="50"/>
      <c r="R11" s="51">
        <f>E11*G11*I11*K11*M11</f>
        <v>124749.23999999999</v>
      </c>
    </row>
    <row r="12" spans="1:18" x14ac:dyDescent="0.2">
      <c r="A12" s="313"/>
      <c r="B12" s="316"/>
      <c r="C12" s="319"/>
      <c r="D12" s="47"/>
      <c r="E12" s="48"/>
      <c r="F12" s="48"/>
      <c r="G12" s="48"/>
      <c r="H12" s="48"/>
      <c r="I12" s="48"/>
      <c r="J12" s="48"/>
      <c r="K12" s="49"/>
      <c r="L12" s="48"/>
      <c r="M12" s="48"/>
      <c r="N12" s="48"/>
      <c r="O12" s="48"/>
      <c r="P12" s="48"/>
      <c r="Q12" s="50"/>
      <c r="R12" s="51"/>
    </row>
    <row r="13" spans="1:18" ht="57.75" customHeight="1" x14ac:dyDescent="0.2">
      <c r="A13" s="314"/>
      <c r="B13" s="317"/>
      <c r="C13" s="320"/>
      <c r="D13" s="52"/>
      <c r="E13" s="53"/>
      <c r="F13" s="53"/>
      <c r="G13" s="53"/>
      <c r="H13" s="53"/>
      <c r="I13" s="53"/>
      <c r="J13" s="53"/>
      <c r="K13" s="54"/>
      <c r="L13" s="53"/>
      <c r="M13" s="53"/>
      <c r="N13" s="53"/>
      <c r="O13" s="53"/>
      <c r="P13" s="53"/>
      <c r="Q13" s="55"/>
      <c r="R13" s="56"/>
    </row>
    <row r="14" spans="1:18" ht="18" customHeight="1" x14ac:dyDescent="0.2">
      <c r="A14" s="85">
        <v>3</v>
      </c>
      <c r="B14" s="321" t="s">
        <v>206</v>
      </c>
      <c r="C14" s="321"/>
      <c r="D14" s="321"/>
      <c r="E14" s="321"/>
      <c r="F14" s="321"/>
      <c r="G14" s="321"/>
      <c r="H14" s="321"/>
      <c r="I14" s="321"/>
      <c r="J14" s="321"/>
      <c r="K14" s="321"/>
      <c r="L14" s="321"/>
      <c r="M14" s="321"/>
      <c r="N14" s="57"/>
      <c r="O14" s="57"/>
      <c r="P14" s="57"/>
      <c r="Q14" s="57"/>
      <c r="R14" s="58">
        <f>R10</f>
        <v>452683.69999999995</v>
      </c>
    </row>
    <row r="15" spans="1:18" ht="15" customHeight="1" x14ac:dyDescent="0.2">
      <c r="A15" s="85">
        <v>4</v>
      </c>
      <c r="B15" s="321" t="s">
        <v>127</v>
      </c>
      <c r="C15" s="321"/>
      <c r="D15" s="321"/>
      <c r="E15" s="321"/>
      <c r="F15" s="321"/>
      <c r="G15" s="321"/>
      <c r="H15" s="321"/>
      <c r="I15" s="321"/>
      <c r="J15" s="321"/>
      <c r="K15" s="321"/>
      <c r="L15" s="321"/>
      <c r="M15" s="321"/>
      <c r="N15" s="57"/>
      <c r="O15" s="57"/>
      <c r="P15" s="57"/>
      <c r="Q15" s="57"/>
      <c r="R15" s="58">
        <f>R11</f>
        <v>124749.23999999999</v>
      </c>
    </row>
    <row r="16" spans="1:18" ht="18" customHeight="1" x14ac:dyDescent="0.2">
      <c r="A16" s="60">
        <v>5</v>
      </c>
      <c r="B16" s="59" t="s">
        <v>28</v>
      </c>
      <c r="C16" s="60" t="s">
        <v>128</v>
      </c>
      <c r="D16" s="61"/>
      <c r="E16" s="62">
        <f>R14</f>
        <v>452683.69999999995</v>
      </c>
      <c r="F16" s="61" t="s">
        <v>126</v>
      </c>
      <c r="G16" s="63">
        <v>0.1125</v>
      </c>
      <c r="H16" s="61"/>
      <c r="I16" s="62"/>
      <c r="J16" s="61"/>
      <c r="K16" s="64"/>
      <c r="L16" s="61"/>
      <c r="M16" s="61"/>
      <c r="N16" s="61"/>
      <c r="O16" s="61"/>
      <c r="P16" s="61"/>
      <c r="Q16" s="61"/>
      <c r="R16" s="65">
        <f>E16*G16</f>
        <v>50926.916249999995</v>
      </c>
    </row>
    <row r="17" spans="1:18" ht="18" customHeight="1" x14ac:dyDescent="0.2">
      <c r="A17" s="60">
        <v>6</v>
      </c>
      <c r="B17" s="59" t="s">
        <v>129</v>
      </c>
      <c r="C17" s="66" t="s">
        <v>130</v>
      </c>
      <c r="D17" s="61" t="s">
        <v>131</v>
      </c>
      <c r="E17" s="62">
        <f>R14</f>
        <v>452683.69999999995</v>
      </c>
      <c r="F17" s="61" t="s">
        <v>132</v>
      </c>
      <c r="G17" s="62">
        <f>R16</f>
        <v>50926.916249999995</v>
      </c>
      <c r="H17" s="61" t="s">
        <v>133</v>
      </c>
      <c r="I17" s="62">
        <v>0.06</v>
      </c>
      <c r="J17" s="61"/>
      <c r="K17" s="64"/>
      <c r="L17" s="61"/>
      <c r="M17" s="61"/>
      <c r="N17" s="61"/>
      <c r="O17" s="61"/>
      <c r="P17" s="61"/>
      <c r="Q17" s="61"/>
      <c r="R17" s="65">
        <f>(E17+G17)*I17</f>
        <v>30216.636974999998</v>
      </c>
    </row>
    <row r="18" spans="1:18" ht="15" customHeight="1" x14ac:dyDescent="0.2">
      <c r="A18" s="60">
        <v>7</v>
      </c>
      <c r="B18" s="59" t="s">
        <v>134</v>
      </c>
      <c r="C18" s="61"/>
      <c r="D18" s="61"/>
      <c r="E18" s="62"/>
      <c r="F18" s="61"/>
      <c r="G18" s="62"/>
      <c r="H18" s="61"/>
      <c r="I18" s="62"/>
      <c r="J18" s="61"/>
      <c r="K18" s="64"/>
      <c r="L18" s="61"/>
      <c r="M18" s="62"/>
      <c r="N18" s="62"/>
      <c r="O18" s="62"/>
      <c r="P18" s="62"/>
      <c r="Q18" s="62"/>
      <c r="R18" s="67">
        <f>R17+R16+R15+R14</f>
        <v>658576.49322499987</v>
      </c>
    </row>
    <row r="19" spans="1:18" ht="25.5" x14ac:dyDescent="0.2">
      <c r="A19" s="84">
        <v>8</v>
      </c>
      <c r="B19" s="68" t="s">
        <v>398</v>
      </c>
      <c r="C19" s="69" t="s">
        <v>55</v>
      </c>
      <c r="D19" s="70"/>
      <c r="E19" s="62">
        <f>R18</f>
        <v>658576.49322499987</v>
      </c>
      <c r="F19" s="61" t="s">
        <v>126</v>
      </c>
      <c r="G19" s="61">
        <v>6.11</v>
      </c>
      <c r="H19" s="61"/>
      <c r="I19" s="61"/>
      <c r="J19" s="61"/>
      <c r="K19" s="64"/>
      <c r="L19" s="61"/>
      <c r="M19" s="61"/>
      <c r="N19" s="61"/>
      <c r="O19" s="61"/>
      <c r="P19" s="61"/>
      <c r="Q19" s="61"/>
      <c r="R19" s="224">
        <f>E19*G19</f>
        <v>4023902.3736047493</v>
      </c>
    </row>
    <row r="20" spans="1:18" s="74" customFormat="1" ht="23.25" customHeight="1" x14ac:dyDescent="0.2">
      <c r="A20" s="72"/>
      <c r="B20" s="72"/>
      <c r="C20" s="72"/>
      <c r="D20" s="72"/>
      <c r="E20" s="73"/>
      <c r="F20" s="72"/>
      <c r="G20" s="73"/>
      <c r="H20" s="72"/>
      <c r="I20" s="73"/>
      <c r="J20" s="72"/>
      <c r="K20" s="73"/>
      <c r="L20" s="72"/>
      <c r="M20" s="73"/>
      <c r="N20" s="72"/>
      <c r="O20" s="72"/>
      <c r="P20" s="72"/>
      <c r="Q20" s="72"/>
      <c r="R20" s="72"/>
    </row>
    <row r="21" spans="1:18" s="76" customFormat="1" ht="30" customHeight="1" x14ac:dyDescent="0.2">
      <c r="A21" s="75"/>
      <c r="B21" s="75"/>
      <c r="C21" s="75"/>
      <c r="D21" s="308"/>
      <c r="E21" s="308"/>
      <c r="F21" s="308"/>
      <c r="G21" s="308"/>
      <c r="H21" s="308"/>
      <c r="I21" s="308"/>
      <c r="J21" s="308"/>
      <c r="K21" s="308"/>
      <c r="L21" s="308"/>
      <c r="M21" s="308"/>
      <c r="N21" s="308"/>
      <c r="O21" s="308"/>
      <c r="P21" s="308"/>
      <c r="Q21" s="308"/>
      <c r="R21" s="308"/>
    </row>
    <row r="22" spans="1:18" x14ac:dyDescent="0.2">
      <c r="A22" s="77"/>
      <c r="B22" s="77"/>
      <c r="C22" s="77"/>
      <c r="D22" s="77"/>
      <c r="E22" s="78"/>
      <c r="F22" s="77"/>
      <c r="G22" s="78"/>
      <c r="H22" s="79"/>
      <c r="I22" s="78"/>
      <c r="J22" s="79"/>
      <c r="K22" s="78"/>
      <c r="L22" s="79"/>
      <c r="M22" s="78"/>
      <c r="N22" s="79"/>
      <c r="O22" s="79"/>
      <c r="P22" s="79"/>
      <c r="Q22" s="79"/>
      <c r="R22" s="77"/>
    </row>
    <row r="23" spans="1:18" s="76" customFormat="1" ht="30" customHeight="1" x14ac:dyDescent="0.2">
      <c r="A23" s="80"/>
      <c r="B23" s="80"/>
      <c r="C23" s="80"/>
      <c r="D23" s="309"/>
      <c r="E23" s="309"/>
      <c r="F23" s="309"/>
      <c r="G23" s="309"/>
      <c r="H23" s="309"/>
      <c r="I23" s="309"/>
      <c r="K23" s="81"/>
      <c r="M23" s="81"/>
    </row>
    <row r="24" spans="1:18" x14ac:dyDescent="0.2">
      <c r="A24" s="71"/>
      <c r="B24" s="71"/>
      <c r="C24" s="71"/>
      <c r="D24" s="71"/>
      <c r="E24" s="82"/>
      <c r="F24" s="71"/>
      <c r="G24" s="82"/>
      <c r="H24" s="71"/>
      <c r="I24" s="82"/>
    </row>
  </sheetData>
  <mergeCells count="18">
    <mergeCell ref="A8:R8"/>
    <mergeCell ref="D21:R21"/>
    <mergeCell ref="D23:I23"/>
    <mergeCell ref="B9:R9"/>
    <mergeCell ref="A10:A13"/>
    <mergeCell ref="B10:B13"/>
    <mergeCell ref="C10:C13"/>
    <mergeCell ref="B15:M15"/>
    <mergeCell ref="B14:M14"/>
    <mergeCell ref="A6:A7"/>
    <mergeCell ref="B6:B7"/>
    <mergeCell ref="C6:C7"/>
    <mergeCell ref="A1:R1"/>
    <mergeCell ref="A2:R2"/>
    <mergeCell ref="A3:R3"/>
    <mergeCell ref="A4:R4"/>
    <mergeCell ref="A5:R5"/>
    <mergeCell ref="D6:Q7"/>
  </mergeCells>
  <pageMargins left="0.70866141732283472" right="0.23622047244094491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zoomScale="130" zoomScaleNormal="130" zoomScaleSheetLayoutView="130" workbookViewId="0">
      <selection activeCell="A3" sqref="A3:G3"/>
    </sheetView>
  </sheetViews>
  <sheetFormatPr defaultRowHeight="12.75" x14ac:dyDescent="0.2"/>
  <cols>
    <col min="1" max="1" width="9.140625" style="37"/>
    <col min="2" max="2" width="35.85546875" style="37" customWidth="1"/>
    <col min="3" max="3" width="15.85546875" style="37" customWidth="1"/>
    <col min="4" max="16384" width="9.140625" style="37"/>
  </cols>
  <sheetData>
    <row r="1" spans="1:18" x14ac:dyDescent="0.2">
      <c r="A1" s="325" t="s">
        <v>136</v>
      </c>
      <c r="B1" s="326"/>
      <c r="C1" s="326"/>
      <c r="D1" s="326"/>
      <c r="E1" s="326"/>
      <c r="F1" s="326"/>
      <c r="G1" s="326"/>
    </row>
    <row r="2" spans="1:18" x14ac:dyDescent="0.2">
      <c r="A2" s="322" t="s">
        <v>319</v>
      </c>
      <c r="B2" s="322"/>
      <c r="C2" s="322"/>
      <c r="D2" s="322"/>
      <c r="E2" s="322"/>
      <c r="F2" s="322"/>
      <c r="G2" s="322"/>
    </row>
    <row r="3" spans="1:18" ht="28.5" customHeight="1" x14ac:dyDescent="0.2">
      <c r="A3" s="323" t="s">
        <v>397</v>
      </c>
      <c r="B3" s="324"/>
      <c r="C3" s="324"/>
      <c r="D3" s="324"/>
      <c r="E3" s="324"/>
      <c r="F3" s="324"/>
      <c r="G3" s="324"/>
    </row>
    <row r="4" spans="1:18" x14ac:dyDescent="0.2">
      <c r="A4" s="297" t="s">
        <v>74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</row>
    <row r="5" spans="1:18" x14ac:dyDescent="0.2">
      <c r="A5" s="298" t="s">
        <v>75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</row>
    <row r="6" spans="1:18" x14ac:dyDescent="0.2">
      <c r="A6" s="115" t="s">
        <v>207</v>
      </c>
      <c r="B6" s="115" t="s">
        <v>208</v>
      </c>
      <c r="C6" s="115" t="s">
        <v>209</v>
      </c>
      <c r="D6" s="115" t="s">
        <v>210</v>
      </c>
      <c r="E6" s="115" t="s">
        <v>211</v>
      </c>
      <c r="F6" s="115" t="s">
        <v>47</v>
      </c>
      <c r="G6" s="115" t="s">
        <v>44</v>
      </c>
    </row>
    <row r="7" spans="1:18" ht="16.5" customHeight="1" x14ac:dyDescent="0.2">
      <c r="A7" s="116" t="s">
        <v>212</v>
      </c>
      <c r="B7" s="116" t="s">
        <v>213</v>
      </c>
      <c r="C7" s="116" t="s">
        <v>214</v>
      </c>
      <c r="D7" s="116" t="s">
        <v>215</v>
      </c>
      <c r="E7" s="116"/>
      <c r="F7" s="116"/>
      <c r="G7" s="116" t="s">
        <v>216</v>
      </c>
    </row>
    <row r="8" spans="1:18" ht="23.25" customHeight="1" x14ac:dyDescent="0.2">
      <c r="A8" s="333" t="s">
        <v>217</v>
      </c>
      <c r="B8" s="333"/>
      <c r="C8" s="333"/>
      <c r="D8" s="333"/>
      <c r="E8" s="333"/>
      <c r="F8" s="333"/>
      <c r="G8" s="333"/>
    </row>
    <row r="9" spans="1:18" x14ac:dyDescent="0.2">
      <c r="A9" s="330" t="s">
        <v>218</v>
      </c>
      <c r="B9" s="330"/>
      <c r="C9" s="330"/>
      <c r="D9" s="330"/>
      <c r="E9" s="330"/>
      <c r="F9" s="330"/>
      <c r="G9" s="330"/>
    </row>
    <row r="10" spans="1:18" ht="27.75" customHeight="1" x14ac:dyDescent="0.2">
      <c r="A10" s="89" t="s">
        <v>219</v>
      </c>
      <c r="B10" s="127" t="s">
        <v>220</v>
      </c>
      <c r="C10" s="91" t="s">
        <v>221</v>
      </c>
      <c r="D10" s="92" t="s">
        <v>45</v>
      </c>
      <c r="E10" s="92">
        <v>23.14</v>
      </c>
      <c r="F10" s="92">
        <v>18.3</v>
      </c>
      <c r="G10" s="93">
        <f>E10*F10</f>
        <v>423.46200000000005</v>
      </c>
    </row>
    <row r="11" spans="1:18" ht="51.75" customHeight="1" x14ac:dyDescent="0.2">
      <c r="A11" s="89" t="s">
        <v>222</v>
      </c>
      <c r="B11" s="127" t="s">
        <v>223</v>
      </c>
      <c r="C11" s="91" t="s">
        <v>224</v>
      </c>
      <c r="D11" s="91" t="s">
        <v>225</v>
      </c>
      <c r="E11" s="93">
        <f>E10*1000/300</f>
        <v>77.13333333333334</v>
      </c>
      <c r="F11" s="92">
        <v>18.399999999999999</v>
      </c>
      <c r="G11" s="93">
        <f>E11*F11</f>
        <v>1419.2533333333333</v>
      </c>
    </row>
    <row r="12" spans="1:18" ht="26.25" customHeight="1" x14ac:dyDescent="0.2">
      <c r="A12" s="94" t="s">
        <v>226</v>
      </c>
      <c r="B12" s="127" t="s">
        <v>227</v>
      </c>
      <c r="C12" s="91"/>
      <c r="D12" s="92"/>
      <c r="E12" s="92"/>
      <c r="F12" s="92"/>
      <c r="G12" s="92"/>
    </row>
    <row r="13" spans="1:18" ht="27.75" customHeight="1" x14ac:dyDescent="0.2">
      <c r="A13" s="94"/>
      <c r="B13" s="95" t="s">
        <v>228</v>
      </c>
      <c r="C13" s="95" t="s">
        <v>229</v>
      </c>
      <c r="D13" s="96" t="s">
        <v>138</v>
      </c>
      <c r="E13" s="93">
        <f>E11*5*30%</f>
        <v>115.7</v>
      </c>
      <c r="F13" s="92">
        <v>38.4</v>
      </c>
      <c r="G13" s="93">
        <f>E13*F13*0.9</f>
        <v>3998.5920000000001</v>
      </c>
    </row>
    <row r="14" spans="1:18" ht="27" customHeight="1" x14ac:dyDescent="0.2">
      <c r="A14" s="94"/>
      <c r="B14" s="95" t="s">
        <v>230</v>
      </c>
      <c r="C14" s="91" t="s">
        <v>229</v>
      </c>
      <c r="D14" s="92" t="s">
        <v>138</v>
      </c>
      <c r="E14" s="93">
        <f>E11*5*70%</f>
        <v>269.96666666666664</v>
      </c>
      <c r="F14" s="99">
        <v>42.6</v>
      </c>
      <c r="G14" s="100">
        <f>E14*F14*0.9</f>
        <v>10350.522000000001</v>
      </c>
    </row>
    <row r="15" spans="1:18" ht="27" customHeight="1" x14ac:dyDescent="0.2">
      <c r="A15" s="98" t="s">
        <v>231</v>
      </c>
      <c r="B15" s="128" t="s">
        <v>232</v>
      </c>
      <c r="C15" s="95" t="s">
        <v>233</v>
      </c>
      <c r="D15" s="96" t="s">
        <v>138</v>
      </c>
      <c r="E15" s="93">
        <f>E13+E14</f>
        <v>385.66666666666663</v>
      </c>
      <c r="F15" s="99">
        <v>2.1</v>
      </c>
      <c r="G15" s="100">
        <f t="shared" ref="G15" si="0">E15*F15</f>
        <v>809.9</v>
      </c>
    </row>
    <row r="16" spans="1:18" ht="28.5" customHeight="1" x14ac:dyDescent="0.2">
      <c r="A16" s="94" t="s">
        <v>234</v>
      </c>
      <c r="B16" s="127" t="s">
        <v>235</v>
      </c>
      <c r="C16" s="91" t="s">
        <v>236</v>
      </c>
      <c r="D16" s="92" t="s">
        <v>138</v>
      </c>
      <c r="E16" s="102">
        <f>E13+E14</f>
        <v>385.66666666666663</v>
      </c>
      <c r="F16" s="99">
        <v>1.6</v>
      </c>
      <c r="G16" s="100">
        <f>E16*F16</f>
        <v>617.06666666666661</v>
      </c>
    </row>
    <row r="17" spans="1:7" ht="27.75" customHeight="1" x14ac:dyDescent="0.2">
      <c r="A17" s="94" t="s">
        <v>237</v>
      </c>
      <c r="B17" s="127" t="s">
        <v>238</v>
      </c>
      <c r="C17" s="91" t="s">
        <v>239</v>
      </c>
      <c r="D17" s="92" t="s">
        <v>240</v>
      </c>
      <c r="E17" s="102">
        <f>2*E11+4*2</f>
        <v>162.26666666666668</v>
      </c>
      <c r="F17" s="92">
        <v>22.9</v>
      </c>
      <c r="G17" s="100">
        <f>E17*F17</f>
        <v>3715.9066666666668</v>
      </c>
    </row>
    <row r="18" spans="1:7" ht="12" customHeight="1" x14ac:dyDescent="0.2">
      <c r="A18" s="117"/>
      <c r="B18" s="118" t="s">
        <v>282</v>
      </c>
      <c r="C18" s="126"/>
      <c r="D18" s="331"/>
      <c r="E18" s="331"/>
      <c r="F18" s="331"/>
      <c r="G18" s="119">
        <f>ROUND((SUM(G10:G17)),0)</f>
        <v>21335</v>
      </c>
    </row>
    <row r="19" spans="1:7" x14ac:dyDescent="0.2">
      <c r="A19" s="330" t="s">
        <v>241</v>
      </c>
      <c r="B19" s="330"/>
      <c r="C19" s="330"/>
      <c r="D19" s="330"/>
      <c r="E19" s="330"/>
      <c r="F19" s="330"/>
      <c r="G19" s="330"/>
    </row>
    <row r="20" spans="1:7" x14ac:dyDescent="0.2">
      <c r="A20" s="94" t="s">
        <v>242</v>
      </c>
      <c r="B20" s="90" t="s">
        <v>243</v>
      </c>
      <c r="C20" s="91" t="s">
        <v>244</v>
      </c>
      <c r="D20" s="92" t="s">
        <v>46</v>
      </c>
      <c r="E20" s="92"/>
      <c r="F20" s="104">
        <v>11.25</v>
      </c>
      <c r="G20" s="100">
        <f>ROUND(G18*F20/100,0)</f>
        <v>2400</v>
      </c>
    </row>
    <row r="21" spans="1:7" x14ac:dyDescent="0.2">
      <c r="A21" s="94" t="s">
        <v>245</v>
      </c>
      <c r="B21" s="90" t="s">
        <v>246</v>
      </c>
      <c r="C21" s="113" t="s">
        <v>247</v>
      </c>
      <c r="D21" s="112" t="s">
        <v>46</v>
      </c>
      <c r="E21" s="112"/>
      <c r="F21" s="92">
        <v>6</v>
      </c>
      <c r="G21" s="100">
        <f>ROUND((G18+G20)*F21/100*2.5,0)</f>
        <v>3560</v>
      </c>
    </row>
    <row r="22" spans="1:7" x14ac:dyDescent="0.2">
      <c r="A22" s="94"/>
      <c r="B22" s="90"/>
      <c r="C22" s="114" t="s">
        <v>248</v>
      </c>
      <c r="D22" s="112"/>
      <c r="E22" s="112"/>
      <c r="F22" s="112"/>
      <c r="G22" s="92"/>
    </row>
    <row r="23" spans="1:7" x14ac:dyDescent="0.2">
      <c r="A23" s="120"/>
      <c r="B23" s="121" t="s">
        <v>249</v>
      </c>
      <c r="C23" s="330"/>
      <c r="D23" s="330"/>
      <c r="E23" s="330"/>
      <c r="F23" s="330"/>
      <c r="G23" s="111">
        <f>ROUND(SUM(G20:G22),0)</f>
        <v>5960</v>
      </c>
    </row>
    <row r="24" spans="1:7" x14ac:dyDescent="0.2">
      <c r="A24" s="330" t="s">
        <v>250</v>
      </c>
      <c r="B24" s="330"/>
      <c r="C24" s="330"/>
      <c r="D24" s="330"/>
      <c r="E24" s="330"/>
      <c r="F24" s="330"/>
      <c r="G24" s="330"/>
    </row>
    <row r="25" spans="1:7" ht="49.5" customHeight="1" x14ac:dyDescent="0.2">
      <c r="A25" s="98" t="s">
        <v>251</v>
      </c>
      <c r="B25" s="128" t="s">
        <v>252</v>
      </c>
      <c r="C25" s="95" t="s">
        <v>253</v>
      </c>
      <c r="D25" s="92" t="s">
        <v>254</v>
      </c>
      <c r="E25" s="93">
        <f>E17</f>
        <v>162.26666666666668</v>
      </c>
      <c r="F25" s="99">
        <v>47.1</v>
      </c>
      <c r="G25" s="100">
        <f>ROUND(E25*F25,0)</f>
        <v>7643</v>
      </c>
    </row>
    <row r="26" spans="1:7" ht="14.25" customHeight="1" x14ac:dyDescent="0.2">
      <c r="A26" s="94" t="s">
        <v>255</v>
      </c>
      <c r="B26" s="127" t="s">
        <v>256</v>
      </c>
      <c r="C26" s="91" t="s">
        <v>257</v>
      </c>
      <c r="D26" s="92" t="s">
        <v>11</v>
      </c>
      <c r="E26" s="93">
        <f>E25*0.2</f>
        <v>32.45333333333334</v>
      </c>
      <c r="F26" s="99">
        <v>18.2</v>
      </c>
      <c r="G26" s="93">
        <f>ROUND(E26*F26,0)</f>
        <v>591</v>
      </c>
    </row>
    <row r="27" spans="1:7" ht="27" customHeight="1" x14ac:dyDescent="0.2">
      <c r="A27" s="94" t="s">
        <v>258</v>
      </c>
      <c r="B27" s="129" t="s">
        <v>259</v>
      </c>
      <c r="C27" s="91" t="s">
        <v>260</v>
      </c>
      <c r="D27" s="92" t="s">
        <v>11</v>
      </c>
      <c r="E27" s="93">
        <f>E26</f>
        <v>32.45333333333334</v>
      </c>
      <c r="F27" s="99">
        <v>11.7</v>
      </c>
      <c r="G27" s="93">
        <f>ROUND(E27*F27,0)</f>
        <v>380</v>
      </c>
    </row>
    <row r="28" spans="1:7" ht="28.5" customHeight="1" x14ac:dyDescent="0.2">
      <c r="A28" s="94" t="s">
        <v>139</v>
      </c>
      <c r="B28" s="127" t="s">
        <v>261</v>
      </c>
      <c r="C28" s="91" t="s">
        <v>262</v>
      </c>
      <c r="D28" s="92" t="s">
        <v>11</v>
      </c>
      <c r="E28" s="93">
        <f>E27</f>
        <v>32.45333333333334</v>
      </c>
      <c r="F28" s="99">
        <v>25.4</v>
      </c>
      <c r="G28" s="93">
        <f>ROUND(E28*F28,0)</f>
        <v>824</v>
      </c>
    </row>
    <row r="29" spans="1:7" x14ac:dyDescent="0.2">
      <c r="A29" s="89" t="s">
        <v>263</v>
      </c>
      <c r="B29" s="128" t="s">
        <v>264</v>
      </c>
      <c r="C29" s="95" t="s">
        <v>265</v>
      </c>
      <c r="D29" s="92" t="s">
        <v>254</v>
      </c>
      <c r="E29" s="92">
        <v>1</v>
      </c>
      <c r="F29" s="99">
        <v>67.3</v>
      </c>
      <c r="G29" s="100">
        <f>ROUND(E29*F29,0)</f>
        <v>67</v>
      </c>
    </row>
    <row r="30" spans="1:7" x14ac:dyDescent="0.2">
      <c r="A30" s="117"/>
      <c r="B30" s="121" t="s">
        <v>266</v>
      </c>
      <c r="C30" s="330"/>
      <c r="D30" s="330"/>
      <c r="E30" s="330"/>
      <c r="F30" s="330"/>
      <c r="G30" s="111">
        <f>ROUND(SUM(G25:G29),0)</f>
        <v>9505</v>
      </c>
    </row>
    <row r="31" spans="1:7" x14ac:dyDescent="0.2">
      <c r="A31" s="328" t="s">
        <v>267</v>
      </c>
      <c r="B31" s="328"/>
      <c r="C31" s="328"/>
      <c r="D31" s="328"/>
      <c r="E31" s="328"/>
      <c r="F31" s="328"/>
      <c r="G31" s="328"/>
    </row>
    <row r="32" spans="1:7" ht="25.5" x14ac:dyDescent="0.2">
      <c r="A32" s="89" t="s">
        <v>268</v>
      </c>
      <c r="B32" s="127" t="s">
        <v>220</v>
      </c>
      <c r="C32" s="91" t="s">
        <v>221</v>
      </c>
      <c r="D32" s="92" t="s">
        <v>45</v>
      </c>
      <c r="E32" s="92">
        <v>23.14</v>
      </c>
      <c r="F32" s="107">
        <v>13.5</v>
      </c>
      <c r="G32" s="100">
        <f>F32*E32</f>
        <v>312.39</v>
      </c>
    </row>
    <row r="33" spans="1:7" ht="54.75" customHeight="1" x14ac:dyDescent="0.2">
      <c r="A33" s="89" t="s">
        <v>269</v>
      </c>
      <c r="B33" s="127" t="str">
        <f>CONCATENATE("Камеральная обработка комплексных исследований и отдельных определений физико-механических свойств грунтов (пород): глинистых, % от ",G25)</f>
        <v>Камеральная обработка комплексных исследований и отдельных определений физико-механических свойств грунтов (пород): глинистых, % от 7643</v>
      </c>
      <c r="C33" s="91" t="s">
        <v>270</v>
      </c>
      <c r="D33" s="92"/>
      <c r="E33" s="100"/>
      <c r="F33" s="107">
        <v>20</v>
      </c>
      <c r="G33" s="100">
        <f>ROUND((G25*F33/100),0)</f>
        <v>1529</v>
      </c>
    </row>
    <row r="34" spans="1:7" ht="25.5" customHeight="1" x14ac:dyDescent="0.2">
      <c r="A34" s="89" t="s">
        <v>140</v>
      </c>
      <c r="B34" s="127" t="str">
        <f>CONCATENATE("Определение коррозийной активности грунтов и воды, % от ",(G26+G27+G28))</f>
        <v>Определение коррозийной активности грунтов и воды, % от 1795</v>
      </c>
      <c r="C34" s="108" t="s">
        <v>271</v>
      </c>
      <c r="D34" s="109"/>
      <c r="E34" s="100"/>
      <c r="F34" s="107">
        <v>15</v>
      </c>
      <c r="G34" s="100">
        <f>ROUND(((G26+G27+G28+G29)*F34/100),0)</f>
        <v>279</v>
      </c>
    </row>
    <row r="35" spans="1:7" ht="27" customHeight="1" x14ac:dyDescent="0.2">
      <c r="A35" s="89" t="s">
        <v>272</v>
      </c>
      <c r="B35" s="127" t="s">
        <v>273</v>
      </c>
      <c r="C35" s="91" t="s">
        <v>274</v>
      </c>
      <c r="D35" s="92"/>
      <c r="E35" s="92"/>
      <c r="F35" s="107">
        <v>21</v>
      </c>
      <c r="G35" s="100">
        <f>ROUND(((G32+G33+G34)*F35/100),0)</f>
        <v>445</v>
      </c>
    </row>
    <row r="36" spans="1:7" ht="27" customHeight="1" x14ac:dyDescent="0.2">
      <c r="A36" s="89" t="s">
        <v>275</v>
      </c>
      <c r="B36" s="127" t="s">
        <v>276</v>
      </c>
      <c r="C36" s="91" t="s">
        <v>277</v>
      </c>
      <c r="D36" s="91" t="s">
        <v>278</v>
      </c>
      <c r="E36" s="92">
        <v>1</v>
      </c>
      <c r="F36" s="107">
        <v>200</v>
      </c>
      <c r="G36" s="100">
        <f>F36*E36</f>
        <v>200</v>
      </c>
    </row>
    <row r="37" spans="1:7" x14ac:dyDescent="0.2">
      <c r="A37" s="117"/>
      <c r="B37" s="118" t="s">
        <v>279</v>
      </c>
      <c r="C37" s="329"/>
      <c r="D37" s="329"/>
      <c r="E37" s="329"/>
      <c r="F37" s="329"/>
      <c r="G37" s="119">
        <f>ROUND(SUM(G32:G36),0)</f>
        <v>2765</v>
      </c>
    </row>
    <row r="38" spans="1:7" x14ac:dyDescent="0.2">
      <c r="A38" s="120"/>
      <c r="B38" s="121" t="s">
        <v>42</v>
      </c>
      <c r="C38" s="330"/>
      <c r="D38" s="330"/>
      <c r="E38" s="330"/>
      <c r="F38" s="330"/>
      <c r="G38" s="111">
        <f>G18+G23+G30+G37</f>
        <v>39565</v>
      </c>
    </row>
    <row r="39" spans="1:7" x14ac:dyDescent="0.2">
      <c r="A39" s="117"/>
      <c r="B39" s="122" t="s">
        <v>318</v>
      </c>
      <c r="C39" s="123" t="s">
        <v>280</v>
      </c>
      <c r="D39" s="331"/>
      <c r="E39" s="331"/>
      <c r="F39" s="331"/>
      <c r="G39" s="111">
        <f>G38*1.15</f>
        <v>45499.75</v>
      </c>
    </row>
    <row r="40" spans="1:7" ht="38.25" x14ac:dyDescent="0.2">
      <c r="A40" s="117"/>
      <c r="B40" s="125" t="s">
        <v>281</v>
      </c>
      <c r="C40" s="332" t="s">
        <v>55</v>
      </c>
      <c r="D40" s="332"/>
      <c r="E40" s="332"/>
      <c r="F40" s="124">
        <v>69.540000000000006</v>
      </c>
      <c r="G40" s="111">
        <f>G39*F40</f>
        <v>3164052.6150000002</v>
      </c>
    </row>
    <row r="41" spans="1:7" x14ac:dyDescent="0.2">
      <c r="A41" s="89"/>
      <c r="B41" s="327"/>
      <c r="C41" s="327"/>
      <c r="D41" s="327"/>
      <c r="E41" s="327"/>
      <c r="F41" s="327"/>
      <c r="G41" s="111"/>
    </row>
  </sheetData>
  <mergeCells count="18">
    <mergeCell ref="C30:F30"/>
    <mergeCell ref="A8:G8"/>
    <mergeCell ref="A2:G2"/>
    <mergeCell ref="A3:G3"/>
    <mergeCell ref="A1:G1"/>
    <mergeCell ref="B41:F41"/>
    <mergeCell ref="A4:R4"/>
    <mergeCell ref="A5:R5"/>
    <mergeCell ref="A31:G31"/>
    <mergeCell ref="C37:F37"/>
    <mergeCell ref="C38:F38"/>
    <mergeCell ref="D39:F39"/>
    <mergeCell ref="C40:E40"/>
    <mergeCell ref="A9:G9"/>
    <mergeCell ref="D18:F18"/>
    <mergeCell ref="A19:G19"/>
    <mergeCell ref="C23:F23"/>
    <mergeCell ref="A24:G24"/>
  </mergeCells>
  <pageMargins left="0.7" right="0.7" top="0.75" bottom="0.75" header="0.3" footer="0.3"/>
  <pageSetup paperSize="9" scale="91" orientation="portrait" r:id="rId1"/>
  <colBreaks count="1" manualBreakCount="1">
    <brk id="7" max="4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topLeftCell="A67" zoomScale="115" zoomScaleNormal="115" zoomScaleSheetLayoutView="115" workbookViewId="0">
      <selection activeCell="A4" sqref="A4:R4"/>
    </sheetView>
  </sheetViews>
  <sheetFormatPr defaultRowHeight="12.75" x14ac:dyDescent="0.2"/>
  <cols>
    <col min="1" max="1" width="9.140625" style="130"/>
    <col min="2" max="2" width="22.5703125" style="130" customWidth="1"/>
    <col min="3" max="3" width="9.140625" style="130"/>
    <col min="4" max="4" width="11.5703125" style="130" customWidth="1"/>
    <col min="5" max="5" width="13.5703125" style="130" customWidth="1"/>
    <col min="6" max="6" width="10.42578125" style="130" bestFit="1" customWidth="1"/>
    <col min="7" max="7" width="9.42578125" style="130" bestFit="1" customWidth="1"/>
    <col min="8" max="8" width="13.28515625" style="130" customWidth="1"/>
    <col min="9" max="16384" width="9.140625" style="130"/>
  </cols>
  <sheetData>
    <row r="1" spans="1:18" ht="13.5" customHeight="1" x14ac:dyDescent="0.2">
      <c r="A1" s="335" t="s">
        <v>316</v>
      </c>
      <c r="B1" s="335"/>
      <c r="C1" s="335"/>
      <c r="D1" s="335"/>
      <c r="E1" s="335"/>
      <c r="F1" s="335"/>
      <c r="G1" s="335"/>
      <c r="H1" s="335"/>
    </row>
    <row r="2" spans="1:18" ht="14.25" customHeight="1" x14ac:dyDescent="0.2">
      <c r="A2" s="335" t="s">
        <v>43</v>
      </c>
      <c r="B2" s="335"/>
      <c r="C2" s="335"/>
      <c r="D2" s="335"/>
      <c r="E2" s="335"/>
      <c r="F2" s="335"/>
      <c r="G2" s="335"/>
      <c r="H2" s="335"/>
    </row>
    <row r="3" spans="1:18" s="24" customFormat="1" ht="27" customHeight="1" x14ac:dyDescent="0.2">
      <c r="A3" s="334" t="s">
        <v>397</v>
      </c>
      <c r="B3" s="334"/>
      <c r="C3" s="334"/>
      <c r="D3" s="334"/>
      <c r="E3" s="334"/>
      <c r="F3" s="334"/>
      <c r="G3" s="334"/>
      <c r="H3" s="334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18" s="24" customFormat="1" x14ac:dyDescent="0.2">
      <c r="A4" s="297" t="s">
        <v>74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</row>
    <row r="5" spans="1:18" s="24" customFormat="1" x14ac:dyDescent="0.2">
      <c r="A5" s="298" t="s">
        <v>75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</row>
    <row r="6" spans="1:18" ht="12.75" customHeight="1" x14ac:dyDescent="0.2">
      <c r="A6" s="336" t="s">
        <v>34</v>
      </c>
      <c r="B6" s="336" t="s">
        <v>0</v>
      </c>
      <c r="C6" s="338" t="s">
        <v>36</v>
      </c>
      <c r="D6" s="339"/>
      <c r="E6" s="336" t="s">
        <v>1</v>
      </c>
      <c r="F6" s="336" t="s">
        <v>2</v>
      </c>
      <c r="G6" s="336" t="s">
        <v>3</v>
      </c>
      <c r="H6" s="336" t="s">
        <v>35</v>
      </c>
      <c r="L6" s="131"/>
    </row>
    <row r="7" spans="1:18" x14ac:dyDescent="0.2">
      <c r="A7" s="337"/>
      <c r="B7" s="337"/>
      <c r="C7" s="340"/>
      <c r="D7" s="341"/>
      <c r="E7" s="337"/>
      <c r="F7" s="337"/>
      <c r="G7" s="337"/>
      <c r="H7" s="337"/>
    </row>
    <row r="8" spans="1:18" x14ac:dyDescent="0.2">
      <c r="A8" s="133">
        <v>1</v>
      </c>
      <c r="B8" s="133">
        <v>2</v>
      </c>
      <c r="C8" s="342">
        <v>3</v>
      </c>
      <c r="D8" s="343"/>
      <c r="E8" s="133">
        <v>4</v>
      </c>
      <c r="F8" s="133">
        <v>5</v>
      </c>
      <c r="G8" s="133">
        <v>6</v>
      </c>
      <c r="H8" s="133">
        <v>7</v>
      </c>
    </row>
    <row r="9" spans="1:18" ht="24" customHeight="1" x14ac:dyDescent="0.2">
      <c r="A9" s="344">
        <v>1</v>
      </c>
      <c r="B9" s="344" t="s">
        <v>144</v>
      </c>
      <c r="C9" s="347" t="s">
        <v>4</v>
      </c>
      <c r="D9" s="348"/>
      <c r="E9" s="351" t="s">
        <v>5</v>
      </c>
      <c r="F9" s="351">
        <v>2.57</v>
      </c>
      <c r="G9" s="351">
        <v>23.14</v>
      </c>
      <c r="H9" s="353">
        <f>F9*G9</f>
        <v>59.469799999999999</v>
      </c>
    </row>
    <row r="10" spans="1:18" ht="27.75" customHeight="1" x14ac:dyDescent="0.2">
      <c r="A10" s="345"/>
      <c r="B10" s="346"/>
      <c r="C10" s="349"/>
      <c r="D10" s="350"/>
      <c r="E10" s="352"/>
      <c r="F10" s="352"/>
      <c r="G10" s="352"/>
      <c r="H10" s="352"/>
    </row>
    <row r="11" spans="1:18" ht="52.5" customHeight="1" x14ac:dyDescent="0.2">
      <c r="A11" s="134">
        <v>2</v>
      </c>
      <c r="B11" s="134" t="s">
        <v>145</v>
      </c>
      <c r="C11" s="347" t="s">
        <v>4</v>
      </c>
      <c r="D11" s="348"/>
      <c r="E11" s="135" t="s">
        <v>5</v>
      </c>
      <c r="F11" s="135">
        <v>1.27</v>
      </c>
      <c r="G11" s="135">
        <f>G9</f>
        <v>23.14</v>
      </c>
      <c r="H11" s="136">
        <f>F11*G11</f>
        <v>29.387800000000002</v>
      </c>
    </row>
    <row r="12" spans="1:18" ht="65.25" customHeight="1" x14ac:dyDescent="0.2">
      <c r="A12" s="133">
        <v>3</v>
      </c>
      <c r="B12" s="133" t="s">
        <v>146</v>
      </c>
      <c r="C12" s="354" t="s">
        <v>147</v>
      </c>
      <c r="D12" s="355"/>
      <c r="E12" s="137" t="s">
        <v>5</v>
      </c>
      <c r="F12" s="137" t="s">
        <v>148</v>
      </c>
      <c r="G12" s="137">
        <f>G9</f>
        <v>23.14</v>
      </c>
      <c r="H12" s="138">
        <f>16.3*G12*0.6</f>
        <v>226.3092</v>
      </c>
    </row>
    <row r="13" spans="1:18" ht="65.25" customHeight="1" x14ac:dyDescent="0.2">
      <c r="A13" s="133">
        <v>4</v>
      </c>
      <c r="B13" s="133" t="s">
        <v>149</v>
      </c>
      <c r="C13" s="354" t="s">
        <v>150</v>
      </c>
      <c r="D13" s="355"/>
      <c r="E13" s="137" t="s">
        <v>5</v>
      </c>
      <c r="F13" s="137" t="s">
        <v>57</v>
      </c>
      <c r="G13" s="137">
        <f>G9</f>
        <v>23.14</v>
      </c>
      <c r="H13" s="138">
        <f>G13*1.6*0.6</f>
        <v>22.214400000000001</v>
      </c>
    </row>
    <row r="14" spans="1:18" ht="27.75" customHeight="1" x14ac:dyDescent="0.2">
      <c r="A14" s="133">
        <v>5</v>
      </c>
      <c r="B14" s="133" t="s">
        <v>6</v>
      </c>
      <c r="C14" s="354" t="s">
        <v>33</v>
      </c>
      <c r="D14" s="355"/>
      <c r="E14" s="137" t="s">
        <v>7</v>
      </c>
      <c r="F14" s="137">
        <v>7.3</v>
      </c>
      <c r="G14" s="139">
        <f>G13*2</f>
        <v>46.28</v>
      </c>
      <c r="H14" s="138">
        <f>7.3*G14</f>
        <v>337.84399999999999</v>
      </c>
    </row>
    <row r="15" spans="1:18" ht="29.25" customHeight="1" x14ac:dyDescent="0.2">
      <c r="A15" s="133">
        <v>6</v>
      </c>
      <c r="B15" s="133" t="s">
        <v>8</v>
      </c>
      <c r="C15" s="354" t="s">
        <v>151</v>
      </c>
      <c r="D15" s="355"/>
      <c r="E15" s="137" t="s">
        <v>7</v>
      </c>
      <c r="F15" s="137">
        <v>4.5</v>
      </c>
      <c r="G15" s="139">
        <f>G14</f>
        <v>46.28</v>
      </c>
      <c r="H15" s="138">
        <f>1.5*G15</f>
        <v>69.42</v>
      </c>
    </row>
    <row r="16" spans="1:18" ht="32.25" customHeight="1" x14ac:dyDescent="0.2">
      <c r="A16" s="133">
        <v>7</v>
      </c>
      <c r="B16" s="133" t="s">
        <v>9</v>
      </c>
      <c r="C16" s="354" t="s">
        <v>10</v>
      </c>
      <c r="D16" s="355"/>
      <c r="E16" s="137" t="s">
        <v>11</v>
      </c>
      <c r="F16" s="137" t="s">
        <v>12</v>
      </c>
      <c r="G16" s="139">
        <f>G15</f>
        <v>46.28</v>
      </c>
      <c r="H16" s="138">
        <f>4.6*0.5*G16</f>
        <v>106.44399999999999</v>
      </c>
    </row>
    <row r="17" spans="1:8" ht="25.5" x14ac:dyDescent="0.2">
      <c r="A17" s="133">
        <v>8</v>
      </c>
      <c r="B17" s="133" t="s">
        <v>13</v>
      </c>
      <c r="C17" s="354" t="s">
        <v>14</v>
      </c>
      <c r="D17" s="355"/>
      <c r="E17" s="137" t="s">
        <v>11</v>
      </c>
      <c r="F17" s="137" t="s">
        <v>58</v>
      </c>
      <c r="G17" s="139">
        <f>G16</f>
        <v>46.28</v>
      </c>
      <c r="H17" s="138">
        <f>(18.8*0.85)*G17</f>
        <v>739.55439999999999</v>
      </c>
    </row>
    <row r="18" spans="1:8" ht="25.5" x14ac:dyDescent="0.2">
      <c r="A18" s="133">
        <v>9</v>
      </c>
      <c r="B18" s="133" t="s">
        <v>15</v>
      </c>
      <c r="C18" s="354" t="s">
        <v>16</v>
      </c>
      <c r="D18" s="355"/>
      <c r="E18" s="137" t="s">
        <v>11</v>
      </c>
      <c r="F18" s="137">
        <v>6.9</v>
      </c>
      <c r="G18" s="139">
        <f>G17</f>
        <v>46.28</v>
      </c>
      <c r="H18" s="138">
        <f>F18*G18</f>
        <v>319.33200000000005</v>
      </c>
    </row>
    <row r="19" spans="1:8" ht="93.75" customHeight="1" x14ac:dyDescent="0.2">
      <c r="A19" s="133">
        <v>10</v>
      </c>
      <c r="B19" s="133" t="s">
        <v>152</v>
      </c>
      <c r="C19" s="354" t="s">
        <v>17</v>
      </c>
      <c r="D19" s="355"/>
      <c r="E19" s="137" t="s">
        <v>11</v>
      </c>
      <c r="F19" s="137" t="s">
        <v>18</v>
      </c>
      <c r="G19" s="139">
        <f>G18</f>
        <v>46.28</v>
      </c>
      <c r="H19" s="138">
        <f>9.7*1.2*G19</f>
        <v>538.69919999999991</v>
      </c>
    </row>
    <row r="20" spans="1:8" ht="51" x14ac:dyDescent="0.2">
      <c r="A20" s="133">
        <v>11</v>
      </c>
      <c r="B20" s="137" t="s">
        <v>153</v>
      </c>
      <c r="C20" s="354" t="s">
        <v>154</v>
      </c>
      <c r="D20" s="355"/>
      <c r="E20" s="135" t="s">
        <v>155</v>
      </c>
      <c r="F20" s="135">
        <v>49.2</v>
      </c>
      <c r="G20" s="216">
        <f>G9*10</f>
        <v>231.4</v>
      </c>
      <c r="H20" s="136">
        <f>F20*G20</f>
        <v>11384.880000000001</v>
      </c>
    </row>
    <row r="21" spans="1:8" ht="51" x14ac:dyDescent="0.2">
      <c r="A21" s="133">
        <v>12</v>
      </c>
      <c r="B21" s="137" t="s">
        <v>156</v>
      </c>
      <c r="C21" s="354" t="s">
        <v>154</v>
      </c>
      <c r="D21" s="355"/>
      <c r="E21" s="135" t="s">
        <v>157</v>
      </c>
      <c r="F21" s="135">
        <v>14.8</v>
      </c>
      <c r="G21" s="216">
        <f>G20</f>
        <v>231.4</v>
      </c>
      <c r="H21" s="136">
        <f>F21*G21</f>
        <v>3424.7200000000003</v>
      </c>
    </row>
    <row r="22" spans="1:8" ht="15.75" customHeight="1" x14ac:dyDescent="0.2">
      <c r="A22" s="161">
        <v>13</v>
      </c>
      <c r="B22" s="165" t="s">
        <v>38</v>
      </c>
      <c r="C22" s="356"/>
      <c r="D22" s="357"/>
      <c r="E22" s="166"/>
      <c r="F22" s="166"/>
      <c r="G22" s="166"/>
      <c r="H22" s="167">
        <f>H9+H12+H14+H16+H17+H18+H19+H20</f>
        <v>13712.5326</v>
      </c>
    </row>
    <row r="23" spans="1:8" ht="15.75" customHeight="1" x14ac:dyDescent="0.2">
      <c r="A23" s="168">
        <v>14</v>
      </c>
      <c r="B23" s="169" t="s">
        <v>59</v>
      </c>
      <c r="C23" s="358"/>
      <c r="D23" s="359"/>
      <c r="E23" s="170"/>
      <c r="F23" s="170"/>
      <c r="G23" s="170"/>
      <c r="H23" s="171">
        <f>H11+H13+H15+H21</f>
        <v>3545.7422000000001</v>
      </c>
    </row>
    <row r="24" spans="1:8" s="24" customFormat="1" ht="25.5" x14ac:dyDescent="0.2">
      <c r="A24" s="360">
        <v>15</v>
      </c>
      <c r="B24" s="140" t="s">
        <v>158</v>
      </c>
      <c r="C24" s="361" t="s">
        <v>159</v>
      </c>
      <c r="D24" s="362"/>
      <c r="E24" s="365"/>
      <c r="F24" s="141"/>
      <c r="G24" s="141"/>
      <c r="H24" s="141"/>
    </row>
    <row r="25" spans="1:8" s="24" customFormat="1" ht="13.5" customHeight="1" x14ac:dyDescent="0.2">
      <c r="A25" s="360"/>
      <c r="B25" s="367" t="s">
        <v>160</v>
      </c>
      <c r="C25" s="363"/>
      <c r="D25" s="364"/>
      <c r="E25" s="366"/>
      <c r="F25" s="142">
        <v>96.2</v>
      </c>
      <c r="G25" s="368" t="str">
        <f>F25&amp;"*"&amp;F26</f>
        <v>96,2*46,28</v>
      </c>
      <c r="H25" s="371">
        <f>F25*F26</f>
        <v>4452.1360000000004</v>
      </c>
    </row>
    <row r="26" spans="1:8" s="24" customFormat="1" x14ac:dyDescent="0.2">
      <c r="A26" s="360"/>
      <c r="B26" s="367"/>
      <c r="C26" s="153" t="s">
        <v>161</v>
      </c>
      <c r="D26" s="154"/>
      <c r="E26" s="143" t="s">
        <v>162</v>
      </c>
      <c r="F26" s="217">
        <f>G16</f>
        <v>46.28</v>
      </c>
      <c r="G26" s="368"/>
      <c r="H26" s="371"/>
    </row>
    <row r="27" spans="1:8" s="24" customFormat="1" x14ac:dyDescent="0.2">
      <c r="A27" s="360"/>
      <c r="B27" s="367" t="s">
        <v>163</v>
      </c>
      <c r="C27" s="369" t="s">
        <v>164</v>
      </c>
      <c r="D27" s="370"/>
      <c r="E27" s="143"/>
      <c r="F27" s="142">
        <v>14</v>
      </c>
      <c r="G27" s="368" t="str">
        <f>F27&amp;"*"&amp;F28</f>
        <v>14*46,28</v>
      </c>
      <c r="H27" s="371">
        <f>F27*F28</f>
        <v>647.92000000000007</v>
      </c>
    </row>
    <row r="28" spans="1:8" s="24" customFormat="1" x14ac:dyDescent="0.2">
      <c r="A28" s="360"/>
      <c r="B28" s="367"/>
      <c r="C28" s="372" t="s">
        <v>161</v>
      </c>
      <c r="D28" s="373"/>
      <c r="E28" s="143" t="s">
        <v>162</v>
      </c>
      <c r="F28" s="217">
        <f>F26</f>
        <v>46.28</v>
      </c>
      <c r="G28" s="368"/>
      <c r="H28" s="371"/>
    </row>
    <row r="29" spans="1:8" s="24" customFormat="1" x14ac:dyDescent="0.2">
      <c r="A29" s="360"/>
      <c r="B29" s="367" t="s">
        <v>165</v>
      </c>
      <c r="C29" s="369" t="s">
        <v>166</v>
      </c>
      <c r="D29" s="370"/>
      <c r="E29" s="143"/>
      <c r="F29" s="142">
        <v>11.3</v>
      </c>
      <c r="G29" s="368" t="str">
        <f>F29&amp;"*"&amp;F30</f>
        <v>11,3*46,28</v>
      </c>
      <c r="H29" s="371">
        <f>F29*F30</f>
        <v>522.96400000000006</v>
      </c>
    </row>
    <row r="30" spans="1:8" s="24" customFormat="1" x14ac:dyDescent="0.2">
      <c r="A30" s="360"/>
      <c r="B30" s="367"/>
      <c r="C30" s="372" t="s">
        <v>161</v>
      </c>
      <c r="D30" s="373"/>
      <c r="E30" s="143" t="s">
        <v>162</v>
      </c>
      <c r="F30" s="142">
        <f>F28</f>
        <v>46.28</v>
      </c>
      <c r="G30" s="368"/>
      <c r="H30" s="371"/>
    </row>
    <row r="31" spans="1:8" s="24" customFormat="1" x14ac:dyDescent="0.2">
      <c r="A31" s="360"/>
      <c r="B31" s="367" t="s">
        <v>167</v>
      </c>
      <c r="C31" s="369" t="s">
        <v>168</v>
      </c>
      <c r="D31" s="370"/>
      <c r="E31" s="143"/>
      <c r="F31" s="142">
        <v>14</v>
      </c>
      <c r="G31" s="368" t="str">
        <f>F31&amp;"*"&amp;F32</f>
        <v>14*46,28</v>
      </c>
      <c r="H31" s="371">
        <f>F31*F32</f>
        <v>647.92000000000007</v>
      </c>
    </row>
    <row r="32" spans="1:8" s="24" customFormat="1" x14ac:dyDescent="0.2">
      <c r="A32" s="360"/>
      <c r="B32" s="367"/>
      <c r="C32" s="372" t="s">
        <v>161</v>
      </c>
      <c r="D32" s="373"/>
      <c r="E32" s="143" t="s">
        <v>162</v>
      </c>
      <c r="F32" s="217">
        <f>F30</f>
        <v>46.28</v>
      </c>
      <c r="G32" s="368"/>
      <c r="H32" s="371"/>
    </row>
    <row r="33" spans="1:8" s="24" customFormat="1" x14ac:dyDescent="0.2">
      <c r="A33" s="360"/>
      <c r="B33" s="367" t="s">
        <v>169</v>
      </c>
      <c r="C33" s="369" t="s">
        <v>170</v>
      </c>
      <c r="D33" s="370"/>
      <c r="E33" s="143"/>
      <c r="F33" s="142">
        <v>15.7</v>
      </c>
      <c r="G33" s="368" t="str">
        <f>F33&amp;"*"&amp;F34</f>
        <v>15,7*46,28</v>
      </c>
      <c r="H33" s="371">
        <f>F33*F34</f>
        <v>726.596</v>
      </c>
    </row>
    <row r="34" spans="1:8" s="24" customFormat="1" x14ac:dyDescent="0.2">
      <c r="A34" s="360"/>
      <c r="B34" s="367"/>
      <c r="C34" s="372" t="s">
        <v>161</v>
      </c>
      <c r="D34" s="373"/>
      <c r="E34" s="143" t="s">
        <v>162</v>
      </c>
      <c r="F34" s="217">
        <f>F32</f>
        <v>46.28</v>
      </c>
      <c r="G34" s="368"/>
      <c r="H34" s="371"/>
    </row>
    <row r="35" spans="1:8" s="24" customFormat="1" x14ac:dyDescent="0.2">
      <c r="A35" s="360"/>
      <c r="B35" s="367" t="s">
        <v>171</v>
      </c>
      <c r="C35" s="369" t="s">
        <v>172</v>
      </c>
      <c r="D35" s="370"/>
      <c r="E35" s="143"/>
      <c r="F35" s="142">
        <v>19.7</v>
      </c>
      <c r="G35" s="368" t="str">
        <f>F35&amp;"*"&amp;F36</f>
        <v>19,7*46,28</v>
      </c>
      <c r="H35" s="371">
        <f>F35*F36</f>
        <v>911.71600000000001</v>
      </c>
    </row>
    <row r="36" spans="1:8" s="24" customFormat="1" x14ac:dyDescent="0.2">
      <c r="A36" s="360"/>
      <c r="B36" s="367"/>
      <c r="C36" s="372" t="s">
        <v>161</v>
      </c>
      <c r="D36" s="373"/>
      <c r="E36" s="143" t="s">
        <v>162</v>
      </c>
      <c r="F36" s="217">
        <f>F34</f>
        <v>46.28</v>
      </c>
      <c r="G36" s="368"/>
      <c r="H36" s="371"/>
    </row>
    <row r="37" spans="1:8" s="24" customFormat="1" x14ac:dyDescent="0.2">
      <c r="A37" s="360"/>
      <c r="B37" s="367" t="s">
        <v>173</v>
      </c>
      <c r="C37" s="369" t="s">
        <v>174</v>
      </c>
      <c r="D37" s="370"/>
      <c r="E37" s="143"/>
      <c r="F37" s="142">
        <v>21.5</v>
      </c>
      <c r="G37" s="368" t="str">
        <f>F37&amp;"*"&amp;F38</f>
        <v>21,5*46,28</v>
      </c>
      <c r="H37" s="371">
        <f>F37*F38</f>
        <v>995.02</v>
      </c>
    </row>
    <row r="38" spans="1:8" s="24" customFormat="1" x14ac:dyDescent="0.2">
      <c r="A38" s="360"/>
      <c r="B38" s="367"/>
      <c r="C38" s="372" t="s">
        <v>161</v>
      </c>
      <c r="D38" s="373"/>
      <c r="E38" s="143" t="s">
        <v>162</v>
      </c>
      <c r="F38" s="217">
        <f>F36</f>
        <v>46.28</v>
      </c>
      <c r="G38" s="368"/>
      <c r="H38" s="371"/>
    </row>
    <row r="39" spans="1:8" s="24" customFormat="1" x14ac:dyDescent="0.2">
      <c r="A39" s="360"/>
      <c r="B39" s="367" t="s">
        <v>175</v>
      </c>
      <c r="C39" s="369" t="s">
        <v>176</v>
      </c>
      <c r="D39" s="370"/>
      <c r="E39" s="143"/>
      <c r="F39" s="142">
        <v>23.5</v>
      </c>
      <c r="G39" s="368" t="str">
        <f>F39&amp;"*"&amp;F40</f>
        <v>23,5*46,28</v>
      </c>
      <c r="H39" s="371">
        <f>F39*F40</f>
        <v>1087.58</v>
      </c>
    </row>
    <row r="40" spans="1:8" s="24" customFormat="1" x14ac:dyDescent="0.2">
      <c r="A40" s="360"/>
      <c r="B40" s="367"/>
      <c r="C40" s="372" t="s">
        <v>161</v>
      </c>
      <c r="D40" s="373"/>
      <c r="E40" s="143" t="s">
        <v>162</v>
      </c>
      <c r="F40" s="217">
        <f>F38</f>
        <v>46.28</v>
      </c>
      <c r="G40" s="368"/>
      <c r="H40" s="371"/>
    </row>
    <row r="41" spans="1:8" s="24" customFormat="1" x14ac:dyDescent="0.2">
      <c r="A41" s="360"/>
      <c r="B41" s="367" t="s">
        <v>177</v>
      </c>
      <c r="C41" s="369" t="s">
        <v>178</v>
      </c>
      <c r="D41" s="370"/>
      <c r="E41" s="143"/>
      <c r="F41" s="142">
        <v>8.1</v>
      </c>
      <c r="G41" s="368" t="str">
        <f>F41&amp;"*"&amp;F42</f>
        <v>8,1*46,28</v>
      </c>
      <c r="H41" s="371">
        <f>F41*F42</f>
        <v>374.86799999999999</v>
      </c>
    </row>
    <row r="42" spans="1:8" s="24" customFormat="1" x14ac:dyDescent="0.2">
      <c r="A42" s="360"/>
      <c r="B42" s="367"/>
      <c r="C42" s="372" t="s">
        <v>161</v>
      </c>
      <c r="D42" s="373"/>
      <c r="E42" s="143" t="s">
        <v>162</v>
      </c>
      <c r="F42" s="217">
        <f>F40</f>
        <v>46.28</v>
      </c>
      <c r="G42" s="368"/>
      <c r="H42" s="371"/>
    </row>
    <row r="43" spans="1:8" s="24" customFormat="1" x14ac:dyDescent="0.2">
      <c r="A43" s="360"/>
      <c r="B43" s="367" t="s">
        <v>179</v>
      </c>
      <c r="C43" s="369" t="s">
        <v>180</v>
      </c>
      <c r="D43" s="370"/>
      <c r="E43" s="143"/>
      <c r="F43" s="142">
        <v>12.2</v>
      </c>
      <c r="G43" s="368" t="str">
        <f>F43&amp;"*"&amp;F44</f>
        <v>12,2*46,28</v>
      </c>
      <c r="H43" s="371">
        <f>F43*F44</f>
        <v>564.61599999999999</v>
      </c>
    </row>
    <row r="44" spans="1:8" s="24" customFormat="1" x14ac:dyDescent="0.2">
      <c r="A44" s="360"/>
      <c r="B44" s="367"/>
      <c r="C44" s="372" t="s">
        <v>161</v>
      </c>
      <c r="D44" s="373"/>
      <c r="E44" s="143" t="s">
        <v>162</v>
      </c>
      <c r="F44" s="217">
        <f>F42</f>
        <v>46.28</v>
      </c>
      <c r="G44" s="368"/>
      <c r="H44" s="371"/>
    </row>
    <row r="45" spans="1:8" s="24" customFormat="1" x14ac:dyDescent="0.2">
      <c r="A45" s="360"/>
      <c r="B45" s="367" t="s">
        <v>181</v>
      </c>
      <c r="C45" s="369" t="s">
        <v>182</v>
      </c>
      <c r="D45" s="370"/>
      <c r="E45" s="143"/>
      <c r="F45" s="142">
        <v>6.1</v>
      </c>
      <c r="G45" s="368" t="str">
        <f>F45&amp;"*"&amp;F46</f>
        <v>6,1*46,28</v>
      </c>
      <c r="H45" s="371">
        <f>F45*F46</f>
        <v>282.30799999999999</v>
      </c>
    </row>
    <row r="46" spans="1:8" s="24" customFormat="1" x14ac:dyDescent="0.2">
      <c r="A46" s="360"/>
      <c r="B46" s="367"/>
      <c r="C46" s="372" t="s">
        <v>161</v>
      </c>
      <c r="D46" s="373"/>
      <c r="E46" s="143" t="s">
        <v>162</v>
      </c>
      <c r="F46" s="217">
        <f>F42</f>
        <v>46.28</v>
      </c>
      <c r="G46" s="368"/>
      <c r="H46" s="371"/>
    </row>
    <row r="47" spans="1:8" s="24" customFormat="1" x14ac:dyDescent="0.2">
      <c r="A47" s="360"/>
      <c r="B47" s="367" t="s">
        <v>183</v>
      </c>
      <c r="C47" s="369" t="s">
        <v>184</v>
      </c>
      <c r="D47" s="370"/>
      <c r="E47" s="143"/>
      <c r="F47" s="142">
        <v>8.6999999999999993</v>
      </c>
      <c r="G47" s="368" t="str">
        <f>F47&amp;"*"&amp;F48</f>
        <v>8,7*46,28</v>
      </c>
      <c r="H47" s="371">
        <f>F47*F48</f>
        <v>402.63599999999997</v>
      </c>
    </row>
    <row r="48" spans="1:8" s="24" customFormat="1" x14ac:dyDescent="0.2">
      <c r="A48" s="360"/>
      <c r="B48" s="367"/>
      <c r="C48" s="372" t="s">
        <v>161</v>
      </c>
      <c r="D48" s="373"/>
      <c r="E48" s="143" t="s">
        <v>162</v>
      </c>
      <c r="F48" s="217">
        <f>F46</f>
        <v>46.28</v>
      </c>
      <c r="G48" s="368"/>
      <c r="H48" s="371"/>
    </row>
    <row r="49" spans="1:8" s="24" customFormat="1" x14ac:dyDescent="0.2">
      <c r="A49" s="374" t="s">
        <v>84</v>
      </c>
      <c r="B49" s="375"/>
      <c r="C49" s="375"/>
      <c r="D49" s="375"/>
      <c r="E49" s="375"/>
      <c r="F49" s="375"/>
      <c r="G49" s="375"/>
      <c r="H49" s="155">
        <f>H47+H45+H43+H41+H39+H37+H35+H33+H31+H29+H27+H25</f>
        <v>11616.28</v>
      </c>
    </row>
    <row r="50" spans="1:8" s="24" customFormat="1" ht="38.25" x14ac:dyDescent="0.2">
      <c r="A50" s="376">
        <v>16</v>
      </c>
      <c r="B50" s="156" t="s">
        <v>185</v>
      </c>
      <c r="C50" s="378"/>
      <c r="D50" s="379"/>
      <c r="E50" s="379"/>
      <c r="F50" s="379"/>
      <c r="G50" s="379"/>
      <c r="H50" s="380"/>
    </row>
    <row r="51" spans="1:8" s="24" customFormat="1" ht="15" customHeight="1" x14ac:dyDescent="0.2">
      <c r="A51" s="377"/>
      <c r="B51" s="381" t="s">
        <v>186</v>
      </c>
      <c r="C51" s="369" t="s">
        <v>187</v>
      </c>
      <c r="D51" s="370"/>
      <c r="E51" s="143"/>
      <c r="F51" s="142">
        <v>3.8</v>
      </c>
      <c r="G51" s="368" t="str">
        <f>F51&amp;"*"&amp;F52</f>
        <v>3,8*46,28</v>
      </c>
      <c r="H51" s="371">
        <f>F51*F52</f>
        <v>175.864</v>
      </c>
    </row>
    <row r="52" spans="1:8" s="24" customFormat="1" x14ac:dyDescent="0.2">
      <c r="A52" s="377"/>
      <c r="B52" s="382"/>
      <c r="C52" s="372" t="s">
        <v>188</v>
      </c>
      <c r="D52" s="373"/>
      <c r="E52" s="144" t="s">
        <v>189</v>
      </c>
      <c r="F52" s="217">
        <f>F26</f>
        <v>46.28</v>
      </c>
      <c r="G52" s="368"/>
      <c r="H52" s="371"/>
    </row>
    <row r="53" spans="1:8" s="24" customFormat="1" x14ac:dyDescent="0.2">
      <c r="A53" s="377"/>
      <c r="B53" s="381" t="s">
        <v>190</v>
      </c>
      <c r="C53" s="369" t="s">
        <v>191</v>
      </c>
      <c r="D53" s="370"/>
      <c r="E53" s="143"/>
      <c r="F53" s="142">
        <v>4</v>
      </c>
      <c r="G53" s="368" t="str">
        <f>F53&amp;"*"&amp;F54</f>
        <v>4*46,28</v>
      </c>
      <c r="H53" s="371">
        <f>F53*F54</f>
        <v>185.12</v>
      </c>
    </row>
    <row r="54" spans="1:8" s="24" customFormat="1" x14ac:dyDescent="0.2">
      <c r="A54" s="377"/>
      <c r="B54" s="382"/>
      <c r="C54" s="372" t="s">
        <v>188</v>
      </c>
      <c r="D54" s="373"/>
      <c r="E54" s="144" t="s">
        <v>189</v>
      </c>
      <c r="F54" s="217">
        <f>F52</f>
        <v>46.28</v>
      </c>
      <c r="G54" s="368"/>
      <c r="H54" s="371"/>
    </row>
    <row r="55" spans="1:8" s="24" customFormat="1" ht="15" customHeight="1" x14ac:dyDescent="0.2">
      <c r="A55" s="377"/>
      <c r="B55" s="381" t="s">
        <v>192</v>
      </c>
      <c r="C55" s="369" t="s">
        <v>193</v>
      </c>
      <c r="D55" s="370"/>
      <c r="E55" s="143"/>
      <c r="F55" s="142">
        <v>19.7</v>
      </c>
      <c r="G55" s="368" t="str">
        <f>F55&amp;"*"&amp;F56</f>
        <v>19,7*46,28</v>
      </c>
      <c r="H55" s="371">
        <f>F55*F56</f>
        <v>911.71600000000001</v>
      </c>
    </row>
    <row r="56" spans="1:8" s="24" customFormat="1" x14ac:dyDescent="0.2">
      <c r="A56" s="377"/>
      <c r="B56" s="382"/>
      <c r="C56" s="372" t="s">
        <v>188</v>
      </c>
      <c r="D56" s="373"/>
      <c r="E56" s="144" t="s">
        <v>189</v>
      </c>
      <c r="F56" s="217">
        <f>F54</f>
        <v>46.28</v>
      </c>
      <c r="G56" s="368"/>
      <c r="H56" s="371"/>
    </row>
    <row r="57" spans="1:8" s="24" customFormat="1" ht="15" customHeight="1" x14ac:dyDescent="0.2">
      <c r="A57" s="377"/>
      <c r="B57" s="381" t="s">
        <v>320</v>
      </c>
      <c r="C57" s="369" t="s">
        <v>194</v>
      </c>
      <c r="D57" s="370"/>
      <c r="E57" s="143"/>
      <c r="F57" s="142">
        <v>7.8</v>
      </c>
      <c r="G57" s="368" t="str">
        <f>F57&amp;"*"&amp;F58&amp;"*6"</f>
        <v>7,8*46,28*6</v>
      </c>
      <c r="H57" s="371">
        <f>F57*F58*6</f>
        <v>2165.904</v>
      </c>
    </row>
    <row r="58" spans="1:8" s="24" customFormat="1" ht="22.5" customHeight="1" x14ac:dyDescent="0.2">
      <c r="A58" s="377"/>
      <c r="B58" s="382"/>
      <c r="C58" s="372" t="s">
        <v>188</v>
      </c>
      <c r="D58" s="373"/>
      <c r="E58" s="144" t="s">
        <v>189</v>
      </c>
      <c r="F58" s="217">
        <f>F56</f>
        <v>46.28</v>
      </c>
      <c r="G58" s="368"/>
      <c r="H58" s="371"/>
    </row>
    <row r="59" spans="1:8" s="24" customFormat="1" x14ac:dyDescent="0.2">
      <c r="A59" s="377"/>
      <c r="B59" s="383" t="s">
        <v>195</v>
      </c>
      <c r="C59" s="369" t="s">
        <v>196</v>
      </c>
      <c r="D59" s="370"/>
      <c r="E59" s="143"/>
      <c r="F59" s="142">
        <v>95.8</v>
      </c>
      <c r="G59" s="368" t="str">
        <f>F59&amp;"*"&amp;F60</f>
        <v>95,8*46,28</v>
      </c>
      <c r="H59" s="371">
        <f>F59*F60</f>
        <v>4433.6239999999998</v>
      </c>
    </row>
    <row r="60" spans="1:8" s="24" customFormat="1" x14ac:dyDescent="0.2">
      <c r="A60" s="377"/>
      <c r="B60" s="384"/>
      <c r="C60" s="387" t="s">
        <v>188</v>
      </c>
      <c r="D60" s="388"/>
      <c r="E60" s="145" t="s">
        <v>189</v>
      </c>
      <c r="F60" s="217">
        <f>F58</f>
        <v>46.28</v>
      </c>
      <c r="G60" s="385"/>
      <c r="H60" s="386"/>
    </row>
    <row r="61" spans="1:8" s="24" customFormat="1" x14ac:dyDescent="0.2">
      <c r="A61" s="374" t="s">
        <v>84</v>
      </c>
      <c r="B61" s="374"/>
      <c r="C61" s="374"/>
      <c r="D61" s="374"/>
      <c r="E61" s="374"/>
      <c r="F61" s="374"/>
      <c r="G61" s="374"/>
      <c r="H61" s="155">
        <f>H59+H57+H55+H53+H51</f>
        <v>7872.2280000000001</v>
      </c>
    </row>
    <row r="62" spans="1:8" ht="13.5" customHeight="1" x14ac:dyDescent="0.2">
      <c r="A62" s="157">
        <v>17</v>
      </c>
      <c r="B62" s="389" t="s">
        <v>41</v>
      </c>
      <c r="C62" s="390"/>
      <c r="D62" s="162"/>
      <c r="E62" s="163"/>
      <c r="F62" s="163"/>
      <c r="G62" s="163"/>
      <c r="H62" s="164">
        <f>H61+H49</f>
        <v>19488.508000000002</v>
      </c>
    </row>
    <row r="63" spans="1:8" ht="27" customHeight="1" x14ac:dyDescent="0.2">
      <c r="A63" s="133">
        <v>18</v>
      </c>
      <c r="B63" s="342" t="s">
        <v>19</v>
      </c>
      <c r="C63" s="343"/>
      <c r="D63" s="137" t="s">
        <v>20</v>
      </c>
      <c r="E63" s="137" t="s">
        <v>21</v>
      </c>
      <c r="F63" s="137">
        <v>200</v>
      </c>
      <c r="G63" s="137">
        <v>1</v>
      </c>
      <c r="H63" s="138">
        <v>200</v>
      </c>
    </row>
    <row r="64" spans="1:8" ht="36.75" customHeight="1" x14ac:dyDescent="0.2">
      <c r="A64" s="146">
        <v>19</v>
      </c>
      <c r="B64" s="391" t="s">
        <v>60</v>
      </c>
      <c r="C64" s="392"/>
      <c r="D64" s="135" t="s">
        <v>22</v>
      </c>
      <c r="E64" s="135" t="s">
        <v>23</v>
      </c>
      <c r="F64" s="136">
        <f>H62</f>
        <v>19488.508000000002</v>
      </c>
      <c r="G64" s="135">
        <v>20</v>
      </c>
      <c r="H64" s="136">
        <f>F64*G64%</f>
        <v>3897.7016000000003</v>
      </c>
    </row>
    <row r="65" spans="1:17" ht="39" customHeight="1" x14ac:dyDescent="0.2">
      <c r="A65" s="133">
        <v>20</v>
      </c>
      <c r="B65" s="342" t="s">
        <v>197</v>
      </c>
      <c r="C65" s="343"/>
      <c r="D65" s="135" t="s">
        <v>198</v>
      </c>
      <c r="E65" s="135" t="s">
        <v>23</v>
      </c>
      <c r="F65" s="136">
        <f>H61</f>
        <v>7872.2280000000001</v>
      </c>
      <c r="G65" s="135">
        <v>12</v>
      </c>
      <c r="H65" s="136">
        <f>F65*G65%</f>
        <v>944.66735999999992</v>
      </c>
    </row>
    <row r="66" spans="1:17" ht="45" customHeight="1" x14ac:dyDescent="0.2">
      <c r="A66" s="146">
        <v>21</v>
      </c>
      <c r="B66" s="342" t="s">
        <v>199</v>
      </c>
      <c r="C66" s="343"/>
      <c r="D66" s="135" t="s">
        <v>200</v>
      </c>
      <c r="E66" s="135" t="s">
        <v>23</v>
      </c>
      <c r="F66" s="136">
        <f>H49</f>
        <v>11616.28</v>
      </c>
      <c r="G66" s="135">
        <v>15</v>
      </c>
      <c r="H66" s="136">
        <f>F66*G66%</f>
        <v>1742.442</v>
      </c>
    </row>
    <row r="67" spans="1:17" ht="42" customHeight="1" x14ac:dyDescent="0.2">
      <c r="A67" s="133">
        <v>22</v>
      </c>
      <c r="B67" s="342" t="s">
        <v>25</v>
      </c>
      <c r="C67" s="343"/>
      <c r="D67" s="137" t="s">
        <v>26</v>
      </c>
      <c r="E67" s="137" t="s">
        <v>27</v>
      </c>
      <c r="F67" s="138">
        <f>H64+H63</f>
        <v>4097.7016000000003</v>
      </c>
      <c r="G67" s="137">
        <v>18</v>
      </c>
      <c r="H67" s="138">
        <f>F67*0.18</f>
        <v>737.58628800000008</v>
      </c>
    </row>
    <row r="68" spans="1:17" ht="15.75" customHeight="1" x14ac:dyDescent="0.2">
      <c r="A68" s="157">
        <v>23</v>
      </c>
      <c r="B68" s="393" t="s">
        <v>59</v>
      </c>
      <c r="C68" s="394"/>
      <c r="D68" s="158"/>
      <c r="E68" s="159"/>
      <c r="F68" s="159"/>
      <c r="G68" s="159"/>
      <c r="H68" s="160">
        <f>H67+H66+H65+H64+H63</f>
        <v>7522.3972480000002</v>
      </c>
    </row>
    <row r="69" spans="1:17" ht="14.25" customHeight="1" x14ac:dyDescent="0.2">
      <c r="A69" s="161">
        <v>24</v>
      </c>
      <c r="B69" s="393" t="s">
        <v>42</v>
      </c>
      <c r="C69" s="394"/>
      <c r="D69" s="158"/>
      <c r="E69" s="159"/>
      <c r="F69" s="159"/>
      <c r="G69" s="159"/>
      <c r="H69" s="160">
        <f>H68+H62+H22+H23</f>
        <v>44269.180048000002</v>
      </c>
    </row>
    <row r="70" spans="1:17" ht="57.75" customHeight="1" x14ac:dyDescent="0.2">
      <c r="A70" s="146">
        <v>25</v>
      </c>
      <c r="B70" s="395" t="s">
        <v>201</v>
      </c>
      <c r="C70" s="396"/>
      <c r="D70" s="147" t="s">
        <v>202</v>
      </c>
      <c r="E70" s="137" t="s">
        <v>29</v>
      </c>
      <c r="F70" s="138">
        <f>H22</f>
        <v>13712.5326</v>
      </c>
      <c r="G70" s="137">
        <v>11.25</v>
      </c>
      <c r="H70" s="138">
        <f>H22*11.25%</f>
        <v>1542.6599175000001</v>
      </c>
    </row>
    <row r="71" spans="1:17" ht="69" customHeight="1" x14ac:dyDescent="0.2">
      <c r="A71" s="133">
        <v>26</v>
      </c>
      <c r="B71" s="342" t="s">
        <v>30</v>
      </c>
      <c r="C71" s="343"/>
      <c r="D71" s="147" t="s">
        <v>203</v>
      </c>
      <c r="E71" s="137" t="s">
        <v>29</v>
      </c>
      <c r="F71" s="138">
        <f>H22</f>
        <v>13712.5326</v>
      </c>
      <c r="G71" s="137">
        <v>6</v>
      </c>
      <c r="H71" s="138">
        <f>H22*0.06</f>
        <v>822.75195599999995</v>
      </c>
    </row>
    <row r="72" spans="1:17" x14ac:dyDescent="0.2">
      <c r="A72" s="157">
        <v>27</v>
      </c>
      <c r="B72" s="397" t="s">
        <v>54</v>
      </c>
      <c r="C72" s="398"/>
      <c r="D72" s="158"/>
      <c r="E72" s="159"/>
      <c r="F72" s="159"/>
      <c r="G72" s="159"/>
      <c r="H72" s="160">
        <f>H69+H70+H71</f>
        <v>46634.591921500003</v>
      </c>
    </row>
    <row r="73" spans="1:17" x14ac:dyDescent="0.2">
      <c r="A73" s="161">
        <v>28</v>
      </c>
      <c r="B73" s="397" t="s">
        <v>31</v>
      </c>
      <c r="C73" s="398"/>
      <c r="D73" s="158"/>
      <c r="E73" s="159"/>
      <c r="F73" s="159"/>
      <c r="G73" s="159"/>
      <c r="H73" s="160">
        <f>H72</f>
        <v>46634.591921500003</v>
      </c>
    </row>
    <row r="74" spans="1:17" ht="29.25" customHeight="1" x14ac:dyDescent="0.2">
      <c r="A74" s="157">
        <v>29</v>
      </c>
      <c r="B74" s="399" t="s">
        <v>324</v>
      </c>
      <c r="C74" s="400"/>
      <c r="D74" s="158"/>
      <c r="E74" s="159"/>
      <c r="F74" s="159"/>
      <c r="G74" s="159"/>
      <c r="H74" s="160">
        <f>H73*1.15</f>
        <v>53629.780709724997</v>
      </c>
    </row>
    <row r="75" spans="1:17" ht="38.25" x14ac:dyDescent="0.2">
      <c r="A75" s="161">
        <v>30</v>
      </c>
      <c r="B75" s="399" t="s">
        <v>90</v>
      </c>
      <c r="C75" s="400"/>
      <c r="D75" s="158" t="s">
        <v>56</v>
      </c>
      <c r="E75" s="159" t="s">
        <v>24</v>
      </c>
      <c r="F75" s="159" t="s">
        <v>24</v>
      </c>
      <c r="G75" s="159">
        <v>69.540000000000006</v>
      </c>
      <c r="H75" s="148">
        <f>H74*G75</f>
        <v>3729414.9505542768</v>
      </c>
    </row>
    <row r="76" spans="1:17" ht="21" customHeight="1" x14ac:dyDescent="0.2">
      <c r="A76" s="161">
        <v>31</v>
      </c>
      <c r="B76" s="397" t="s">
        <v>32</v>
      </c>
      <c r="C76" s="398"/>
      <c r="D76" s="147"/>
      <c r="E76" s="147"/>
      <c r="F76" s="137"/>
      <c r="G76" s="137"/>
      <c r="H76" s="148">
        <f>H75</f>
        <v>3729414.9505542768</v>
      </c>
    </row>
    <row r="77" spans="1:17" ht="10.5" customHeight="1" x14ac:dyDescent="0.2"/>
    <row r="78" spans="1:17" s="149" customFormat="1" ht="30" customHeight="1" x14ac:dyDescent="0.2">
      <c r="A78" s="75"/>
      <c r="B78" s="75"/>
      <c r="C78" s="75"/>
      <c r="D78" s="401"/>
      <c r="E78" s="401"/>
      <c r="F78" s="401"/>
      <c r="G78" s="401"/>
      <c r="H78" s="401"/>
      <c r="I78" s="401"/>
      <c r="K78" s="150"/>
      <c r="M78" s="150"/>
    </row>
    <row r="79" spans="1:17" s="151" customFormat="1" x14ac:dyDescent="0.2">
      <c r="A79" s="77"/>
      <c r="B79" s="77"/>
      <c r="C79" s="77"/>
      <c r="D79" s="77"/>
      <c r="E79" s="78"/>
      <c r="F79" s="77"/>
      <c r="G79" s="78"/>
      <c r="H79" s="79"/>
      <c r="I79" s="78"/>
      <c r="J79" s="79"/>
      <c r="K79" s="78"/>
      <c r="L79" s="79"/>
      <c r="M79" s="78"/>
      <c r="N79" s="79"/>
      <c r="O79" s="79"/>
      <c r="P79" s="79"/>
      <c r="Q79" s="79"/>
    </row>
    <row r="80" spans="1:17" s="149" customFormat="1" ht="30" customHeight="1" x14ac:dyDescent="0.2">
      <c r="A80" s="75"/>
      <c r="B80" s="75"/>
      <c r="C80" s="75"/>
      <c r="D80" s="401"/>
      <c r="E80" s="401"/>
      <c r="F80" s="401"/>
      <c r="G80" s="401"/>
      <c r="H80" s="401"/>
      <c r="I80" s="401"/>
      <c r="K80" s="150"/>
      <c r="M80" s="150"/>
    </row>
    <row r="81" spans="1:13" s="151" customFormat="1" x14ac:dyDescent="0.2">
      <c r="A81" s="77"/>
      <c r="B81" s="77"/>
      <c r="C81" s="77"/>
      <c r="D81" s="77"/>
      <c r="E81" s="78"/>
      <c r="F81" s="77"/>
      <c r="G81" s="78"/>
      <c r="H81" s="77"/>
      <c r="I81" s="78"/>
      <c r="K81" s="152"/>
      <c r="M81" s="152"/>
    </row>
  </sheetData>
  <mergeCells count="140">
    <mergeCell ref="B70:C70"/>
    <mergeCell ref="B71:C71"/>
    <mergeCell ref="B72:C72"/>
    <mergeCell ref="B73:C73"/>
    <mergeCell ref="B74:C74"/>
    <mergeCell ref="B75:C75"/>
    <mergeCell ref="B76:C76"/>
    <mergeCell ref="D78:I78"/>
    <mergeCell ref="D80:I80"/>
    <mergeCell ref="A61:G61"/>
    <mergeCell ref="B62:C62"/>
    <mergeCell ref="B63:C63"/>
    <mergeCell ref="B64:C64"/>
    <mergeCell ref="B65:C65"/>
    <mergeCell ref="B66:C66"/>
    <mergeCell ref="B67:C67"/>
    <mergeCell ref="B68:C68"/>
    <mergeCell ref="B69:C69"/>
    <mergeCell ref="C56:D56"/>
    <mergeCell ref="B57:B58"/>
    <mergeCell ref="C57:D57"/>
    <mergeCell ref="G57:G58"/>
    <mergeCell ref="H57:H58"/>
    <mergeCell ref="C58:D58"/>
    <mergeCell ref="B59:B60"/>
    <mergeCell ref="C59:D59"/>
    <mergeCell ref="G59:G60"/>
    <mergeCell ref="H59:H60"/>
    <mergeCell ref="C60:D60"/>
    <mergeCell ref="H45:H46"/>
    <mergeCell ref="C46:D46"/>
    <mergeCell ref="B47:B48"/>
    <mergeCell ref="C47:D47"/>
    <mergeCell ref="G47:G48"/>
    <mergeCell ref="H47:H48"/>
    <mergeCell ref="C48:D48"/>
    <mergeCell ref="A49:G49"/>
    <mergeCell ref="A50:A60"/>
    <mergeCell ref="C50:H50"/>
    <mergeCell ref="B51:B52"/>
    <mergeCell ref="C51:D51"/>
    <mergeCell ref="G51:G52"/>
    <mergeCell ref="H51:H52"/>
    <mergeCell ref="C52:D52"/>
    <mergeCell ref="B53:B54"/>
    <mergeCell ref="C53:D53"/>
    <mergeCell ref="G53:G54"/>
    <mergeCell ref="H53:H54"/>
    <mergeCell ref="C54:D54"/>
    <mergeCell ref="B55:B56"/>
    <mergeCell ref="C55:D55"/>
    <mergeCell ref="G55:G56"/>
    <mergeCell ref="H55:H56"/>
    <mergeCell ref="H39:H40"/>
    <mergeCell ref="C40:D40"/>
    <mergeCell ref="B41:B42"/>
    <mergeCell ref="C41:D41"/>
    <mergeCell ref="G41:G42"/>
    <mergeCell ref="H41:H42"/>
    <mergeCell ref="C42:D42"/>
    <mergeCell ref="B43:B44"/>
    <mergeCell ref="C43:D43"/>
    <mergeCell ref="G43:G44"/>
    <mergeCell ref="H43:H44"/>
    <mergeCell ref="C44:D44"/>
    <mergeCell ref="H33:H34"/>
    <mergeCell ref="C34:D34"/>
    <mergeCell ref="B35:B36"/>
    <mergeCell ref="C35:D35"/>
    <mergeCell ref="G35:G36"/>
    <mergeCell ref="H35:H36"/>
    <mergeCell ref="C36:D36"/>
    <mergeCell ref="B37:B38"/>
    <mergeCell ref="C37:D37"/>
    <mergeCell ref="G37:G38"/>
    <mergeCell ref="H37:H38"/>
    <mergeCell ref="C38:D38"/>
    <mergeCell ref="H25:H26"/>
    <mergeCell ref="B27:B28"/>
    <mergeCell ref="C27:D27"/>
    <mergeCell ref="G27:G28"/>
    <mergeCell ref="H27:H28"/>
    <mergeCell ref="C28:D28"/>
    <mergeCell ref="H29:H30"/>
    <mergeCell ref="C30:D30"/>
    <mergeCell ref="B31:B32"/>
    <mergeCell ref="C31:D31"/>
    <mergeCell ref="G31:G32"/>
    <mergeCell ref="H31:H32"/>
    <mergeCell ref="C32:D32"/>
    <mergeCell ref="C21:D21"/>
    <mergeCell ref="C22:D22"/>
    <mergeCell ref="C23:D23"/>
    <mergeCell ref="A24:A48"/>
    <mergeCell ref="C24:D25"/>
    <mergeCell ref="E24:E25"/>
    <mergeCell ref="B25:B26"/>
    <mergeCell ref="G25:G26"/>
    <mergeCell ref="B29:B30"/>
    <mergeCell ref="C29:D29"/>
    <mergeCell ref="G29:G30"/>
    <mergeCell ref="B33:B34"/>
    <mergeCell ref="C33:D33"/>
    <mergeCell ref="G33:G34"/>
    <mergeCell ref="B39:B40"/>
    <mergeCell ref="C39:D39"/>
    <mergeCell ref="G39:G40"/>
    <mergeCell ref="B45:B46"/>
    <mergeCell ref="C45:D45"/>
    <mergeCell ref="G45:G46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8:D8"/>
    <mergeCell ref="A9:A10"/>
    <mergeCell ref="B9:B10"/>
    <mergeCell ref="C9:D10"/>
    <mergeCell ref="E9:E10"/>
    <mergeCell ref="F9:F10"/>
    <mergeCell ref="G9:G10"/>
    <mergeCell ref="H9:H10"/>
    <mergeCell ref="C11:D11"/>
    <mergeCell ref="A3:H3"/>
    <mergeCell ref="A1:H1"/>
    <mergeCell ref="A2:H2"/>
    <mergeCell ref="A4:R4"/>
    <mergeCell ref="A5:R5"/>
    <mergeCell ref="A6:A7"/>
    <mergeCell ref="B6:B7"/>
    <mergeCell ref="C6:D7"/>
    <mergeCell ref="E6:E7"/>
    <mergeCell ref="F6:F7"/>
    <mergeCell ref="G6:G7"/>
    <mergeCell ref="H6:H7"/>
  </mergeCells>
  <pageMargins left="0.45" right="0.28000000000000003" top="0.21" bottom="0.2" header="0.2" footer="0.2"/>
  <pageSetup paperSize="9" scale="97" orientation="portrait" r:id="rId1"/>
  <headerFooter alignWithMargins="0"/>
  <rowBreaks count="1" manualBreakCount="1">
    <brk id="26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42"/>
  <sheetViews>
    <sheetView topLeftCell="A28" zoomScale="130" zoomScaleNormal="130" zoomScaleSheetLayoutView="100" workbookViewId="0">
      <selection activeCell="F37" sqref="F37"/>
    </sheetView>
  </sheetViews>
  <sheetFormatPr defaultRowHeight="12.75" x14ac:dyDescent="0.2"/>
  <cols>
    <col min="1" max="1" width="9.140625" style="24"/>
    <col min="2" max="2" width="33.7109375" style="24" customWidth="1"/>
    <col min="3" max="3" width="12.42578125" style="24" customWidth="1"/>
    <col min="4" max="16384" width="9.140625" style="24"/>
  </cols>
  <sheetData>
    <row r="1" spans="1:253" s="130" customFormat="1" ht="13.5" customHeight="1" x14ac:dyDescent="0.2">
      <c r="A1" s="335" t="s">
        <v>317</v>
      </c>
      <c r="B1" s="417"/>
      <c r="C1" s="417"/>
      <c r="D1" s="417"/>
      <c r="E1" s="417"/>
      <c r="F1" s="417"/>
      <c r="G1" s="417"/>
      <c r="H1" s="194"/>
    </row>
    <row r="2" spans="1:253" s="130" customFormat="1" ht="15.75" customHeight="1" x14ac:dyDescent="0.2">
      <c r="A2" s="335" t="s">
        <v>381</v>
      </c>
      <c r="B2" s="417"/>
      <c r="C2" s="417"/>
      <c r="D2" s="417"/>
      <c r="E2" s="417"/>
      <c r="F2" s="417"/>
      <c r="G2" s="417"/>
      <c r="H2" s="194"/>
    </row>
    <row r="3" spans="1:253" ht="27.75" customHeight="1" x14ac:dyDescent="0.2">
      <c r="A3" s="334" t="s">
        <v>397</v>
      </c>
      <c r="B3" s="334"/>
      <c r="C3" s="334"/>
      <c r="D3" s="334"/>
      <c r="E3" s="334"/>
      <c r="F3" s="334"/>
      <c r="G3" s="334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253" ht="15.75" customHeight="1" x14ac:dyDescent="0.2">
      <c r="A4" s="428" t="s">
        <v>369</v>
      </c>
      <c r="B4" s="429"/>
      <c r="C4" s="429"/>
      <c r="D4" s="429"/>
      <c r="E4" s="429"/>
      <c r="F4" s="429"/>
      <c r="G4" s="429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</row>
    <row r="5" spans="1:253" ht="15.75" customHeight="1" x14ac:dyDescent="0.2">
      <c r="A5" s="430" t="s">
        <v>75</v>
      </c>
      <c r="B5" s="429"/>
      <c r="C5" s="429"/>
      <c r="D5" s="429"/>
      <c r="E5" s="429"/>
      <c r="F5" s="429"/>
      <c r="G5" s="429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</row>
    <row r="6" spans="1:253" s="173" customFormat="1" x14ac:dyDescent="0.2">
      <c r="A6" s="105" t="s">
        <v>207</v>
      </c>
      <c r="B6" s="106" t="s">
        <v>208</v>
      </c>
      <c r="C6" s="105" t="s">
        <v>209</v>
      </c>
      <c r="D6" s="105" t="s">
        <v>210</v>
      </c>
      <c r="E6" s="105" t="s">
        <v>211</v>
      </c>
      <c r="F6" s="105" t="s">
        <v>47</v>
      </c>
      <c r="G6" s="105" t="s">
        <v>44</v>
      </c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  <c r="BA6" s="172"/>
      <c r="BB6" s="172"/>
      <c r="BC6" s="172"/>
      <c r="BD6" s="172"/>
      <c r="BE6" s="172"/>
      <c r="BF6" s="172"/>
      <c r="BG6" s="172"/>
      <c r="BH6" s="172"/>
      <c r="BI6" s="172"/>
      <c r="BJ6" s="172"/>
      <c r="BK6" s="172"/>
      <c r="BL6" s="172"/>
      <c r="BM6" s="172"/>
      <c r="BN6" s="172"/>
      <c r="BO6" s="172"/>
      <c r="BP6" s="172"/>
      <c r="BQ6" s="172"/>
      <c r="BR6" s="172"/>
      <c r="BS6" s="172"/>
      <c r="BT6" s="172"/>
      <c r="BU6" s="172"/>
      <c r="BV6" s="172"/>
      <c r="BW6" s="172"/>
      <c r="BX6" s="172"/>
      <c r="BY6" s="172"/>
      <c r="BZ6" s="172"/>
      <c r="CA6" s="172"/>
      <c r="CB6" s="172"/>
      <c r="CC6" s="172"/>
      <c r="CD6" s="172"/>
      <c r="CE6" s="172"/>
      <c r="CF6" s="172"/>
      <c r="CG6" s="172"/>
      <c r="CH6" s="172"/>
      <c r="CI6" s="172"/>
      <c r="CJ6" s="172"/>
      <c r="CK6" s="172"/>
      <c r="CL6" s="172"/>
      <c r="CM6" s="172"/>
      <c r="CN6" s="172"/>
      <c r="CO6" s="172"/>
      <c r="CP6" s="172"/>
      <c r="CQ6" s="172"/>
      <c r="CR6" s="172"/>
      <c r="CS6" s="172"/>
      <c r="CT6" s="172"/>
      <c r="CU6" s="172"/>
      <c r="CV6" s="172"/>
      <c r="CW6" s="172"/>
      <c r="CX6" s="172"/>
      <c r="CY6" s="172"/>
      <c r="CZ6" s="172"/>
      <c r="DA6" s="172"/>
      <c r="DB6" s="172"/>
      <c r="DC6" s="172"/>
      <c r="DD6" s="172"/>
      <c r="DE6" s="172"/>
      <c r="DF6" s="172"/>
      <c r="DG6" s="172"/>
      <c r="DH6" s="172"/>
      <c r="DI6" s="172"/>
      <c r="DJ6" s="172"/>
      <c r="DK6" s="172"/>
      <c r="DL6" s="172"/>
      <c r="DM6" s="172"/>
      <c r="DN6" s="172"/>
      <c r="DO6" s="172"/>
      <c r="DP6" s="172"/>
      <c r="DQ6" s="172"/>
      <c r="DR6" s="172"/>
      <c r="DS6" s="172"/>
      <c r="DT6" s="172"/>
      <c r="DU6" s="172"/>
      <c r="DV6" s="172"/>
      <c r="DW6" s="172"/>
      <c r="DX6" s="172"/>
      <c r="DY6" s="172"/>
      <c r="DZ6" s="172"/>
      <c r="EA6" s="172"/>
      <c r="EB6" s="172"/>
      <c r="EC6" s="172"/>
      <c r="ED6" s="172"/>
      <c r="EE6" s="172"/>
      <c r="EF6" s="172"/>
      <c r="EG6" s="172"/>
      <c r="EH6" s="172"/>
      <c r="EI6" s="172"/>
      <c r="EJ6" s="172"/>
      <c r="EK6" s="172"/>
      <c r="EL6" s="172"/>
      <c r="EM6" s="172"/>
      <c r="EN6" s="172"/>
      <c r="EO6" s="172"/>
      <c r="EP6" s="172"/>
      <c r="EQ6" s="172"/>
      <c r="ER6" s="172"/>
      <c r="ES6" s="172"/>
      <c r="ET6" s="172"/>
      <c r="EU6" s="172"/>
      <c r="EV6" s="172"/>
      <c r="EW6" s="172"/>
      <c r="EX6" s="172"/>
      <c r="EY6" s="172"/>
      <c r="EZ6" s="172"/>
      <c r="FA6" s="172"/>
      <c r="FB6" s="172"/>
      <c r="FC6" s="172"/>
      <c r="FD6" s="172"/>
      <c r="FE6" s="172"/>
      <c r="FF6" s="172"/>
      <c r="FG6" s="172"/>
      <c r="FH6" s="172"/>
      <c r="FI6" s="172"/>
      <c r="FJ6" s="172"/>
      <c r="FK6" s="172"/>
      <c r="FL6" s="172"/>
      <c r="FM6" s="172"/>
      <c r="FN6" s="172"/>
      <c r="FO6" s="172"/>
      <c r="FP6" s="172"/>
      <c r="FQ6" s="172"/>
      <c r="FR6" s="172"/>
      <c r="FS6" s="172"/>
      <c r="FT6" s="172"/>
      <c r="FU6" s="172"/>
      <c r="FV6" s="172"/>
      <c r="FW6" s="172"/>
      <c r="FX6" s="172"/>
      <c r="FY6" s="172"/>
      <c r="FZ6" s="172"/>
      <c r="GA6" s="172"/>
      <c r="GB6" s="172"/>
      <c r="GC6" s="172"/>
      <c r="GD6" s="172"/>
      <c r="GE6" s="172"/>
      <c r="GF6" s="172"/>
      <c r="GG6" s="172"/>
      <c r="GH6" s="172"/>
      <c r="GI6" s="172"/>
      <c r="GJ6" s="172"/>
      <c r="GK6" s="172"/>
      <c r="GL6" s="172"/>
      <c r="GM6" s="172"/>
      <c r="GN6" s="172"/>
      <c r="GO6" s="172"/>
      <c r="GP6" s="172"/>
      <c r="GQ6" s="172"/>
      <c r="GR6" s="172"/>
      <c r="GS6" s="172"/>
      <c r="GT6" s="172"/>
      <c r="GU6" s="172"/>
      <c r="GV6" s="172"/>
      <c r="GW6" s="172"/>
      <c r="GX6" s="172"/>
      <c r="GY6" s="172"/>
      <c r="GZ6" s="172"/>
      <c r="HA6" s="172"/>
      <c r="HB6" s="172"/>
      <c r="HC6" s="172"/>
      <c r="HD6" s="172"/>
      <c r="HE6" s="172"/>
      <c r="HF6" s="172"/>
      <c r="HG6" s="172"/>
      <c r="HH6" s="172"/>
      <c r="HI6" s="172"/>
      <c r="HJ6" s="172"/>
      <c r="HK6" s="172"/>
      <c r="HL6" s="172"/>
      <c r="HM6" s="172"/>
      <c r="HN6" s="172"/>
      <c r="HO6" s="172"/>
      <c r="HP6" s="172"/>
      <c r="HQ6" s="172"/>
      <c r="HR6" s="172"/>
      <c r="HS6" s="172"/>
      <c r="HT6" s="172"/>
      <c r="HU6" s="172"/>
      <c r="HV6" s="172"/>
      <c r="HW6" s="172"/>
      <c r="HX6" s="172"/>
      <c r="HY6" s="172"/>
      <c r="HZ6" s="172"/>
      <c r="IA6" s="172"/>
      <c r="IB6" s="172"/>
      <c r="IC6" s="172"/>
      <c r="ID6" s="172"/>
      <c r="IE6" s="172"/>
      <c r="IF6" s="172"/>
      <c r="IG6" s="172"/>
      <c r="IH6" s="172"/>
      <c r="II6" s="172"/>
      <c r="IJ6" s="172"/>
      <c r="IK6" s="172"/>
      <c r="IL6" s="172"/>
      <c r="IM6" s="172"/>
      <c r="IN6" s="172"/>
      <c r="IO6" s="172"/>
      <c r="IP6" s="172"/>
      <c r="IQ6" s="172"/>
      <c r="IR6" s="172"/>
      <c r="IS6" s="172"/>
    </row>
    <row r="7" spans="1:253" s="173" customFormat="1" x14ac:dyDescent="0.2">
      <c r="A7" s="87" t="s">
        <v>212</v>
      </c>
      <c r="B7" s="88" t="s">
        <v>213</v>
      </c>
      <c r="C7" s="87" t="s">
        <v>214</v>
      </c>
      <c r="D7" s="87" t="s">
        <v>215</v>
      </c>
      <c r="E7" s="87"/>
      <c r="F7" s="87"/>
      <c r="G7" s="87" t="s">
        <v>216</v>
      </c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172"/>
      <c r="BA7" s="172"/>
      <c r="BB7" s="172"/>
      <c r="BC7" s="172"/>
      <c r="BD7" s="172"/>
      <c r="BE7" s="172"/>
      <c r="BF7" s="172"/>
      <c r="BG7" s="172"/>
      <c r="BH7" s="172"/>
      <c r="BI7" s="172"/>
      <c r="BJ7" s="172"/>
      <c r="BK7" s="172"/>
      <c r="BL7" s="172"/>
      <c r="BM7" s="172"/>
      <c r="BN7" s="172"/>
      <c r="BO7" s="172"/>
      <c r="BP7" s="172"/>
      <c r="BQ7" s="172"/>
      <c r="BR7" s="172"/>
      <c r="BS7" s="172"/>
      <c r="BT7" s="172"/>
      <c r="BU7" s="172"/>
      <c r="BV7" s="172"/>
      <c r="BW7" s="172"/>
      <c r="BX7" s="172"/>
      <c r="BY7" s="172"/>
      <c r="BZ7" s="172"/>
      <c r="CA7" s="172"/>
      <c r="CB7" s="172"/>
      <c r="CC7" s="172"/>
      <c r="CD7" s="172"/>
      <c r="CE7" s="172"/>
      <c r="CF7" s="172"/>
      <c r="CG7" s="172"/>
      <c r="CH7" s="172"/>
      <c r="CI7" s="172"/>
      <c r="CJ7" s="172"/>
      <c r="CK7" s="172"/>
      <c r="CL7" s="172"/>
      <c r="CM7" s="172"/>
      <c r="CN7" s="172"/>
      <c r="CO7" s="172"/>
      <c r="CP7" s="172"/>
      <c r="CQ7" s="172"/>
      <c r="CR7" s="172"/>
      <c r="CS7" s="172"/>
      <c r="CT7" s="172"/>
      <c r="CU7" s="172"/>
      <c r="CV7" s="172"/>
      <c r="CW7" s="172"/>
      <c r="CX7" s="172"/>
      <c r="CY7" s="172"/>
      <c r="CZ7" s="172"/>
      <c r="DA7" s="172"/>
      <c r="DB7" s="172"/>
      <c r="DC7" s="172"/>
      <c r="DD7" s="172"/>
      <c r="DE7" s="172"/>
      <c r="DF7" s="172"/>
      <c r="DG7" s="172"/>
      <c r="DH7" s="172"/>
      <c r="DI7" s="172"/>
      <c r="DJ7" s="172"/>
      <c r="DK7" s="172"/>
      <c r="DL7" s="172"/>
      <c r="DM7" s="172"/>
      <c r="DN7" s="172"/>
      <c r="DO7" s="172"/>
      <c r="DP7" s="172"/>
      <c r="DQ7" s="172"/>
      <c r="DR7" s="172"/>
      <c r="DS7" s="172"/>
      <c r="DT7" s="172"/>
      <c r="DU7" s="172"/>
      <c r="DV7" s="172"/>
      <c r="DW7" s="172"/>
      <c r="DX7" s="172"/>
      <c r="DY7" s="172"/>
      <c r="DZ7" s="172"/>
      <c r="EA7" s="172"/>
      <c r="EB7" s="172"/>
      <c r="EC7" s="172"/>
      <c r="ED7" s="172"/>
      <c r="EE7" s="172"/>
      <c r="EF7" s="172"/>
      <c r="EG7" s="172"/>
      <c r="EH7" s="172"/>
      <c r="EI7" s="172"/>
      <c r="EJ7" s="172"/>
      <c r="EK7" s="172"/>
      <c r="EL7" s="172"/>
      <c r="EM7" s="172"/>
      <c r="EN7" s="172"/>
      <c r="EO7" s="172"/>
      <c r="EP7" s="172"/>
      <c r="EQ7" s="172"/>
      <c r="ER7" s="172"/>
      <c r="ES7" s="172"/>
      <c r="ET7" s="172"/>
      <c r="EU7" s="172"/>
      <c r="EV7" s="172"/>
      <c r="EW7" s="172"/>
      <c r="EX7" s="172"/>
      <c r="EY7" s="172"/>
      <c r="EZ7" s="172"/>
      <c r="FA7" s="172"/>
      <c r="FB7" s="172"/>
      <c r="FC7" s="172"/>
      <c r="FD7" s="172"/>
      <c r="FE7" s="172"/>
      <c r="FF7" s="172"/>
      <c r="FG7" s="172"/>
      <c r="FH7" s="172"/>
      <c r="FI7" s="172"/>
      <c r="FJ7" s="172"/>
      <c r="FK7" s="172"/>
      <c r="FL7" s="172"/>
      <c r="FM7" s="172"/>
      <c r="FN7" s="172"/>
      <c r="FO7" s="172"/>
      <c r="FP7" s="172"/>
      <c r="FQ7" s="172"/>
      <c r="FR7" s="172"/>
      <c r="FS7" s="172"/>
      <c r="FT7" s="172"/>
      <c r="FU7" s="172"/>
      <c r="FV7" s="172"/>
      <c r="FW7" s="172"/>
      <c r="FX7" s="172"/>
      <c r="FY7" s="172"/>
      <c r="FZ7" s="172"/>
      <c r="GA7" s="172"/>
      <c r="GB7" s="172"/>
      <c r="GC7" s="172"/>
      <c r="GD7" s="172"/>
      <c r="GE7" s="172"/>
      <c r="GF7" s="172"/>
      <c r="GG7" s="172"/>
      <c r="GH7" s="172"/>
      <c r="GI7" s="172"/>
      <c r="GJ7" s="172"/>
      <c r="GK7" s="172"/>
      <c r="GL7" s="172"/>
      <c r="GM7" s="172"/>
      <c r="GN7" s="172"/>
      <c r="GO7" s="172"/>
      <c r="GP7" s="172"/>
      <c r="GQ7" s="172"/>
      <c r="GR7" s="172"/>
      <c r="GS7" s="172"/>
      <c r="GT7" s="172"/>
      <c r="GU7" s="172"/>
      <c r="GV7" s="172"/>
      <c r="GW7" s="172"/>
      <c r="GX7" s="172"/>
      <c r="GY7" s="172"/>
      <c r="GZ7" s="172"/>
      <c r="HA7" s="172"/>
      <c r="HB7" s="172"/>
      <c r="HC7" s="172"/>
      <c r="HD7" s="172"/>
      <c r="HE7" s="172"/>
      <c r="HF7" s="172"/>
      <c r="HG7" s="172"/>
      <c r="HH7" s="172"/>
      <c r="HI7" s="172"/>
      <c r="HJ7" s="172"/>
      <c r="HK7" s="172"/>
      <c r="HL7" s="172"/>
      <c r="HM7" s="172"/>
      <c r="HN7" s="172"/>
      <c r="HO7" s="172"/>
      <c r="HP7" s="172"/>
      <c r="HQ7" s="172"/>
      <c r="HR7" s="172"/>
      <c r="HS7" s="172"/>
      <c r="HT7" s="172"/>
      <c r="HU7" s="172"/>
      <c r="HV7" s="172"/>
      <c r="HW7" s="172"/>
      <c r="HX7" s="172"/>
      <c r="HY7" s="172"/>
      <c r="HZ7" s="172"/>
      <c r="IA7" s="172"/>
      <c r="IB7" s="172"/>
      <c r="IC7" s="172"/>
      <c r="ID7" s="172"/>
      <c r="IE7" s="172"/>
      <c r="IF7" s="172"/>
      <c r="IG7" s="172"/>
      <c r="IH7" s="172"/>
      <c r="II7" s="172"/>
      <c r="IJ7" s="172"/>
      <c r="IK7" s="172"/>
      <c r="IL7" s="172"/>
      <c r="IM7" s="172"/>
      <c r="IN7" s="172"/>
      <c r="IO7" s="172"/>
      <c r="IP7" s="172"/>
      <c r="IQ7" s="172"/>
      <c r="IR7" s="172"/>
      <c r="IS7" s="172"/>
    </row>
    <row r="8" spans="1:253" s="173" customFormat="1" ht="25.5" customHeight="1" x14ac:dyDescent="0.2">
      <c r="A8" s="425" t="s">
        <v>217</v>
      </c>
      <c r="B8" s="426"/>
      <c r="C8" s="426"/>
      <c r="D8" s="426"/>
      <c r="E8" s="426"/>
      <c r="F8" s="426"/>
      <c r="G8" s="427"/>
    </row>
    <row r="9" spans="1:253" s="173" customFormat="1" x14ac:dyDescent="0.2">
      <c r="A9" s="330" t="s">
        <v>218</v>
      </c>
      <c r="B9" s="330"/>
      <c r="C9" s="330"/>
      <c r="D9" s="330"/>
      <c r="E9" s="330"/>
      <c r="F9" s="330"/>
      <c r="G9" s="330"/>
    </row>
    <row r="10" spans="1:253" s="173" customFormat="1" ht="30" customHeight="1" x14ac:dyDescent="0.2">
      <c r="A10" s="89" t="s">
        <v>219</v>
      </c>
      <c r="B10" s="127" t="s">
        <v>283</v>
      </c>
      <c r="C10" s="91" t="s">
        <v>284</v>
      </c>
      <c r="D10" s="92" t="s">
        <v>45</v>
      </c>
      <c r="E10" s="183">
        <v>0.7</v>
      </c>
      <c r="F10" s="92">
        <v>24</v>
      </c>
      <c r="G10" s="93">
        <f>E10*F10</f>
        <v>16.799999999999997</v>
      </c>
    </row>
    <row r="11" spans="1:253" s="173" customFormat="1" ht="15" customHeight="1" x14ac:dyDescent="0.2">
      <c r="A11" s="110">
        <v>2</v>
      </c>
      <c r="B11" s="127" t="s">
        <v>51</v>
      </c>
      <c r="C11" s="110" t="s">
        <v>285</v>
      </c>
      <c r="D11" s="110" t="s">
        <v>52</v>
      </c>
      <c r="E11" s="110">
        <v>3</v>
      </c>
      <c r="F11" s="110">
        <v>7</v>
      </c>
      <c r="G11" s="110">
        <f>E11*F11</f>
        <v>21</v>
      </c>
    </row>
    <row r="12" spans="1:253" s="173" customFormat="1" ht="55.5" customHeight="1" x14ac:dyDescent="0.2">
      <c r="A12" s="89" t="s">
        <v>226</v>
      </c>
      <c r="B12" s="127" t="s">
        <v>286</v>
      </c>
      <c r="C12" s="110" t="s">
        <v>287</v>
      </c>
      <c r="D12" s="110" t="s">
        <v>288</v>
      </c>
      <c r="E12" s="110">
        <v>3</v>
      </c>
      <c r="F12" s="110">
        <v>126</v>
      </c>
      <c r="G12" s="110">
        <f>E12*F12</f>
        <v>378</v>
      </c>
    </row>
    <row r="13" spans="1:253" s="173" customFormat="1" ht="40.5" customHeight="1" x14ac:dyDescent="0.2">
      <c r="A13" s="110">
        <v>4</v>
      </c>
      <c r="B13" s="127" t="s">
        <v>289</v>
      </c>
      <c r="C13" s="110" t="s">
        <v>290</v>
      </c>
      <c r="D13" s="110" t="s">
        <v>45</v>
      </c>
      <c r="E13" s="110">
        <v>0.7</v>
      </c>
      <c r="F13" s="110">
        <v>23.3</v>
      </c>
      <c r="G13" s="184">
        <f t="shared" ref="G13:G17" si="0">E13*F13</f>
        <v>16.309999999999999</v>
      </c>
    </row>
    <row r="14" spans="1:253" s="173" customFormat="1" ht="29.25" customHeight="1" x14ac:dyDescent="0.2">
      <c r="A14" s="89" t="s">
        <v>234</v>
      </c>
      <c r="B14" s="127" t="s">
        <v>291</v>
      </c>
      <c r="C14" s="110" t="s">
        <v>292</v>
      </c>
      <c r="D14" s="110" t="s">
        <v>48</v>
      </c>
      <c r="E14" s="110">
        <v>3</v>
      </c>
      <c r="F14" s="110">
        <v>19</v>
      </c>
      <c r="G14" s="110">
        <f t="shared" si="0"/>
        <v>57</v>
      </c>
    </row>
    <row r="15" spans="1:253" s="173" customFormat="1" ht="28.5" customHeight="1" x14ac:dyDescent="0.2">
      <c r="A15" s="110">
        <v>6</v>
      </c>
      <c r="B15" s="127" t="s">
        <v>49</v>
      </c>
      <c r="C15" s="110" t="s">
        <v>293</v>
      </c>
      <c r="D15" s="110" t="s">
        <v>50</v>
      </c>
      <c r="E15" s="110">
        <v>3</v>
      </c>
      <c r="F15" s="110">
        <v>70</v>
      </c>
      <c r="G15" s="110">
        <f t="shared" si="0"/>
        <v>210</v>
      </c>
    </row>
    <row r="16" spans="1:253" s="173" customFormat="1" ht="30" customHeight="1" x14ac:dyDescent="0.2">
      <c r="A16" s="89" t="s">
        <v>242</v>
      </c>
      <c r="B16" s="127" t="s">
        <v>294</v>
      </c>
      <c r="C16" s="110" t="s">
        <v>295</v>
      </c>
      <c r="D16" s="110" t="s">
        <v>296</v>
      </c>
      <c r="E16" s="110">
        <v>3</v>
      </c>
      <c r="F16" s="110">
        <v>107</v>
      </c>
      <c r="G16" s="184">
        <f t="shared" si="0"/>
        <v>321</v>
      </c>
    </row>
    <row r="17" spans="1:253" s="173" customFormat="1" ht="26.25" customHeight="1" x14ac:dyDescent="0.2">
      <c r="A17" s="110">
        <v>8</v>
      </c>
      <c r="B17" s="127" t="s">
        <v>297</v>
      </c>
      <c r="C17" s="110" t="s">
        <v>298</v>
      </c>
      <c r="D17" s="110" t="s">
        <v>45</v>
      </c>
      <c r="E17" s="110">
        <v>0.7</v>
      </c>
      <c r="F17" s="110">
        <v>101</v>
      </c>
      <c r="G17" s="184">
        <f t="shared" si="0"/>
        <v>70.699999999999989</v>
      </c>
    </row>
    <row r="18" spans="1:253" s="174" customFormat="1" ht="12.75" customHeight="1" x14ac:dyDescent="0.2">
      <c r="A18" s="411" t="s">
        <v>42</v>
      </c>
      <c r="B18" s="418"/>
      <c r="C18" s="418"/>
      <c r="D18" s="418"/>
      <c r="E18" s="418"/>
      <c r="F18" s="419"/>
      <c r="G18" s="197">
        <f>ROUND(((SUM(G10:G17))),0)</f>
        <v>1091</v>
      </c>
    </row>
    <row r="19" spans="1:253" s="174" customFormat="1" x14ac:dyDescent="0.2">
      <c r="A19" s="407" t="s">
        <v>241</v>
      </c>
      <c r="B19" s="407"/>
      <c r="C19" s="407"/>
      <c r="D19" s="407"/>
      <c r="E19" s="407"/>
      <c r="F19" s="407"/>
      <c r="G19" s="407"/>
    </row>
    <row r="20" spans="1:253" s="173" customFormat="1" ht="15" customHeight="1" x14ac:dyDescent="0.2">
      <c r="A20" s="94" t="s">
        <v>251</v>
      </c>
      <c r="B20" s="90" t="s">
        <v>28</v>
      </c>
      <c r="C20" s="91" t="s">
        <v>244</v>
      </c>
      <c r="D20" s="92" t="s">
        <v>46</v>
      </c>
      <c r="E20" s="92"/>
      <c r="F20" s="104">
        <v>11.25</v>
      </c>
      <c r="G20" s="100">
        <f>ROUND(G18*F20/100,0)</f>
        <v>123</v>
      </c>
    </row>
    <row r="21" spans="1:253" s="173" customFormat="1" x14ac:dyDescent="0.2">
      <c r="A21" s="185" t="s">
        <v>255</v>
      </c>
      <c r="B21" s="186" t="s">
        <v>246</v>
      </c>
      <c r="C21" s="187" t="s">
        <v>247</v>
      </c>
      <c r="D21" s="97" t="s">
        <v>46</v>
      </c>
      <c r="E21" s="188"/>
      <c r="F21" s="97">
        <v>6</v>
      </c>
      <c r="G21" s="431">
        <f>ROUND(((G18+G20)*F21/100*C22),)</f>
        <v>182</v>
      </c>
    </row>
    <row r="22" spans="1:253" s="173" customFormat="1" x14ac:dyDescent="0.2">
      <c r="A22" s="185"/>
      <c r="B22" s="186" t="str">
        <f>CONCATENATE("6 % от (",G18,"+",G20,")*",C22,"")</f>
        <v>6 % от (1091+123)*2,5</v>
      </c>
      <c r="C22" s="189">
        <v>2.5</v>
      </c>
      <c r="D22" s="97"/>
      <c r="E22" s="188"/>
      <c r="F22" s="97"/>
      <c r="G22" s="432"/>
    </row>
    <row r="23" spans="1:253" s="174" customFormat="1" ht="17.25" customHeight="1" x14ac:dyDescent="0.2">
      <c r="A23" s="420" t="s">
        <v>249</v>
      </c>
      <c r="B23" s="421"/>
      <c r="C23" s="421"/>
      <c r="D23" s="421"/>
      <c r="E23" s="421"/>
      <c r="F23" s="421"/>
      <c r="G23" s="111">
        <f>ROUND(SUM(G20:G22),0)</f>
        <v>305</v>
      </c>
    </row>
    <row r="24" spans="1:253" s="173" customFormat="1" x14ac:dyDescent="0.2">
      <c r="A24" s="330" t="s">
        <v>299</v>
      </c>
      <c r="B24" s="330"/>
      <c r="C24" s="330"/>
      <c r="D24" s="330"/>
      <c r="E24" s="330"/>
      <c r="F24" s="330"/>
      <c r="G24" s="330"/>
    </row>
    <row r="25" spans="1:253" s="173" customFormat="1" ht="28.5" customHeight="1" x14ac:dyDescent="0.2">
      <c r="A25" s="94" t="s">
        <v>258</v>
      </c>
      <c r="B25" s="127" t="s">
        <v>300</v>
      </c>
      <c r="C25" s="91" t="s">
        <v>284</v>
      </c>
      <c r="D25" s="92" t="s">
        <v>45</v>
      </c>
      <c r="E25" s="183">
        <f>E10</f>
        <v>0.7</v>
      </c>
      <c r="F25" s="92">
        <v>8</v>
      </c>
      <c r="G25" s="93">
        <f>E25*F25</f>
        <v>5.6</v>
      </c>
    </row>
    <row r="26" spans="1:253" s="175" customFormat="1" ht="39.75" customHeight="1" x14ac:dyDescent="0.2">
      <c r="A26" s="94" t="s">
        <v>139</v>
      </c>
      <c r="B26" s="199" t="s">
        <v>301</v>
      </c>
      <c r="C26" s="190" t="s">
        <v>302</v>
      </c>
      <c r="D26" s="190" t="s">
        <v>303</v>
      </c>
      <c r="E26" s="103">
        <v>6</v>
      </c>
      <c r="F26" s="103">
        <v>10</v>
      </c>
      <c r="G26" s="102">
        <f>E26*F26</f>
        <v>60</v>
      </c>
    </row>
    <row r="27" spans="1:253" s="173" customFormat="1" ht="192" customHeight="1" x14ac:dyDescent="0.2">
      <c r="A27" s="94" t="s">
        <v>263</v>
      </c>
      <c r="B27" s="191" t="s">
        <v>304</v>
      </c>
      <c r="C27" s="91" t="s">
        <v>305</v>
      </c>
      <c r="D27" s="91" t="s">
        <v>306</v>
      </c>
      <c r="E27" s="92">
        <v>6</v>
      </c>
      <c r="F27" s="99">
        <f>1+2.8+7+1.7+1.5+7.2+6.7+8.2</f>
        <v>36.099999999999994</v>
      </c>
      <c r="G27" s="93">
        <f>ROUND(E27*F27,0)</f>
        <v>217</v>
      </c>
    </row>
    <row r="28" spans="1:253" s="173" customFormat="1" ht="206.25" customHeight="1" x14ac:dyDescent="0.2">
      <c r="A28" s="94" t="s">
        <v>268</v>
      </c>
      <c r="B28" s="101" t="s">
        <v>307</v>
      </c>
      <c r="C28" s="91" t="s">
        <v>308</v>
      </c>
      <c r="D28" s="92" t="s">
        <v>53</v>
      </c>
      <c r="E28" s="92">
        <v>6</v>
      </c>
      <c r="F28" s="92">
        <f>57+79+115+116+280+49+90+331</f>
        <v>1117</v>
      </c>
      <c r="G28" s="93">
        <f>ROUND(E28*F28,0)</f>
        <v>6702</v>
      </c>
    </row>
    <row r="29" spans="1:253" s="173" customFormat="1" x14ac:dyDescent="0.2">
      <c r="A29" s="422" t="s">
        <v>42</v>
      </c>
      <c r="B29" s="423"/>
      <c r="C29" s="423"/>
      <c r="D29" s="423"/>
      <c r="E29" s="423"/>
      <c r="F29" s="424"/>
      <c r="G29" s="119">
        <f>SUM(G25:G28)</f>
        <v>6984.6</v>
      </c>
      <c r="J29" s="172"/>
      <c r="K29" s="172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  <c r="BA29" s="172"/>
      <c r="BB29" s="172"/>
      <c r="BC29" s="172"/>
      <c r="BD29" s="172"/>
      <c r="BE29" s="172"/>
      <c r="BF29" s="172"/>
      <c r="BG29" s="172"/>
      <c r="BH29" s="172"/>
      <c r="BI29" s="172"/>
      <c r="BJ29" s="172"/>
      <c r="BK29" s="172"/>
      <c r="BL29" s="172"/>
      <c r="BM29" s="172"/>
      <c r="BN29" s="172"/>
      <c r="BO29" s="172"/>
      <c r="BP29" s="172"/>
      <c r="BQ29" s="172"/>
      <c r="BR29" s="172"/>
      <c r="BS29" s="172"/>
      <c r="BT29" s="172"/>
      <c r="BU29" s="172"/>
      <c r="BV29" s="172"/>
      <c r="BW29" s="172"/>
      <c r="BX29" s="172"/>
      <c r="BY29" s="172"/>
      <c r="BZ29" s="172"/>
      <c r="CA29" s="172"/>
      <c r="CB29" s="172"/>
      <c r="CC29" s="172"/>
      <c r="CD29" s="172"/>
      <c r="CE29" s="172"/>
      <c r="CF29" s="172"/>
      <c r="CG29" s="172"/>
      <c r="CH29" s="172"/>
      <c r="CI29" s="172"/>
      <c r="CJ29" s="172"/>
      <c r="CK29" s="172"/>
      <c r="CL29" s="172"/>
      <c r="CM29" s="172"/>
      <c r="CN29" s="172"/>
      <c r="CO29" s="172"/>
      <c r="CP29" s="172"/>
      <c r="CQ29" s="172"/>
      <c r="CR29" s="172"/>
      <c r="CS29" s="172"/>
      <c r="CT29" s="172"/>
      <c r="CU29" s="172"/>
      <c r="CV29" s="172"/>
      <c r="CW29" s="172"/>
      <c r="CX29" s="172"/>
      <c r="CY29" s="172"/>
      <c r="CZ29" s="172"/>
      <c r="DA29" s="172"/>
      <c r="DB29" s="172"/>
      <c r="DC29" s="172"/>
      <c r="DD29" s="172"/>
      <c r="DE29" s="172"/>
      <c r="DF29" s="172"/>
      <c r="DG29" s="172"/>
      <c r="DH29" s="172"/>
      <c r="DI29" s="172"/>
      <c r="DJ29" s="172"/>
      <c r="DK29" s="172"/>
      <c r="DL29" s="172"/>
      <c r="DM29" s="172"/>
      <c r="DN29" s="172"/>
      <c r="DO29" s="172"/>
      <c r="DP29" s="172"/>
      <c r="DQ29" s="172"/>
      <c r="DR29" s="172"/>
      <c r="DS29" s="172"/>
      <c r="DT29" s="172"/>
      <c r="DU29" s="172"/>
      <c r="DV29" s="172"/>
      <c r="DW29" s="172"/>
      <c r="DX29" s="172"/>
      <c r="DY29" s="172"/>
      <c r="DZ29" s="172"/>
      <c r="EA29" s="172"/>
      <c r="EB29" s="172"/>
      <c r="EC29" s="172"/>
      <c r="ED29" s="172"/>
      <c r="EE29" s="172"/>
      <c r="EF29" s="172"/>
      <c r="EG29" s="172"/>
      <c r="EH29" s="172"/>
      <c r="EI29" s="172"/>
      <c r="EJ29" s="172"/>
      <c r="EK29" s="172"/>
      <c r="EL29" s="172"/>
      <c r="EM29" s="172"/>
      <c r="EN29" s="172"/>
      <c r="EO29" s="172"/>
      <c r="EP29" s="172"/>
      <c r="EQ29" s="172"/>
      <c r="ER29" s="172"/>
      <c r="ES29" s="172"/>
      <c r="ET29" s="172"/>
      <c r="EU29" s="172"/>
      <c r="EV29" s="172"/>
      <c r="EW29" s="172"/>
      <c r="EX29" s="172"/>
      <c r="EY29" s="172"/>
      <c r="EZ29" s="172"/>
      <c r="FA29" s="172"/>
      <c r="FB29" s="172"/>
      <c r="FC29" s="172"/>
      <c r="FD29" s="172"/>
      <c r="FE29" s="172"/>
      <c r="FF29" s="172"/>
      <c r="FG29" s="172"/>
      <c r="FH29" s="172"/>
      <c r="FI29" s="172"/>
      <c r="FJ29" s="172"/>
      <c r="FK29" s="172"/>
      <c r="FL29" s="172"/>
      <c r="FM29" s="172"/>
      <c r="FN29" s="172"/>
      <c r="FO29" s="172"/>
      <c r="FP29" s="172"/>
      <c r="FQ29" s="172"/>
      <c r="FR29" s="172"/>
      <c r="FS29" s="172"/>
      <c r="FT29" s="172"/>
      <c r="FU29" s="172"/>
      <c r="FV29" s="172"/>
      <c r="FW29" s="172"/>
      <c r="FX29" s="172"/>
      <c r="FY29" s="172"/>
      <c r="FZ29" s="172"/>
      <c r="GA29" s="172"/>
      <c r="GB29" s="172"/>
      <c r="GC29" s="172"/>
      <c r="GD29" s="172"/>
      <c r="GE29" s="172"/>
      <c r="GF29" s="172"/>
      <c r="GG29" s="172"/>
      <c r="GH29" s="172"/>
      <c r="GI29" s="172"/>
      <c r="GJ29" s="172"/>
      <c r="GK29" s="172"/>
      <c r="GL29" s="172"/>
      <c r="GM29" s="172"/>
      <c r="GN29" s="172"/>
      <c r="GO29" s="172"/>
      <c r="GP29" s="172"/>
      <c r="GQ29" s="172"/>
      <c r="GR29" s="172"/>
      <c r="GS29" s="172"/>
      <c r="GT29" s="172"/>
      <c r="GU29" s="172"/>
      <c r="GV29" s="172"/>
      <c r="GW29" s="172"/>
      <c r="GX29" s="172"/>
      <c r="GY29" s="172"/>
      <c r="GZ29" s="172"/>
      <c r="HA29" s="172"/>
      <c r="HB29" s="172"/>
      <c r="HC29" s="172"/>
      <c r="HD29" s="172"/>
      <c r="HE29" s="172"/>
      <c r="HF29" s="172"/>
      <c r="HG29" s="172"/>
      <c r="HH29" s="172"/>
      <c r="HI29" s="172"/>
      <c r="HJ29" s="172"/>
      <c r="HK29" s="172"/>
      <c r="HL29" s="172"/>
      <c r="HM29" s="172"/>
      <c r="HN29" s="172"/>
      <c r="HO29" s="172"/>
      <c r="HP29" s="172"/>
      <c r="HQ29" s="172"/>
      <c r="HR29" s="172"/>
      <c r="HS29" s="172"/>
      <c r="HT29" s="172"/>
      <c r="HU29" s="172"/>
      <c r="HV29" s="172"/>
      <c r="HW29" s="172"/>
      <c r="HX29" s="172"/>
      <c r="HY29" s="172"/>
      <c r="HZ29" s="172"/>
      <c r="IA29" s="172"/>
      <c r="IB29" s="172"/>
      <c r="IC29" s="172"/>
      <c r="ID29" s="172"/>
      <c r="IE29" s="172"/>
      <c r="IF29" s="172"/>
      <c r="IG29" s="172"/>
      <c r="IH29" s="172"/>
      <c r="II29" s="172"/>
      <c r="IJ29" s="172"/>
      <c r="IK29" s="172"/>
      <c r="IL29" s="172"/>
      <c r="IM29" s="172"/>
      <c r="IN29" s="172"/>
      <c r="IO29" s="172"/>
      <c r="IP29" s="172"/>
      <c r="IQ29" s="172"/>
      <c r="IR29" s="172"/>
      <c r="IS29" s="172"/>
    </row>
    <row r="30" spans="1:253" s="175" customFormat="1" ht="27" customHeight="1" x14ac:dyDescent="0.2">
      <c r="A30" s="94" t="s">
        <v>269</v>
      </c>
      <c r="B30" s="199" t="s">
        <v>309</v>
      </c>
      <c r="C30" s="190" t="s">
        <v>310</v>
      </c>
      <c r="D30" s="103"/>
      <c r="E30" s="103"/>
      <c r="F30" s="192">
        <v>65</v>
      </c>
      <c r="G30" s="192">
        <f>ROUND((G29*F30/100),0)</f>
        <v>4540</v>
      </c>
      <c r="J30" s="176"/>
      <c r="K30" s="176"/>
      <c r="L30" s="176"/>
      <c r="M30" s="176"/>
      <c r="N30" s="176"/>
      <c r="O30" s="176"/>
      <c r="P30" s="176"/>
      <c r="Q30" s="176"/>
      <c r="R30" s="176"/>
      <c r="S30" s="176"/>
      <c r="T30" s="176"/>
      <c r="U30" s="176"/>
      <c r="V30" s="176"/>
      <c r="W30" s="176"/>
      <c r="X30" s="176"/>
      <c r="Y30" s="176"/>
      <c r="Z30" s="176"/>
      <c r="AA30" s="176"/>
      <c r="AB30" s="176"/>
      <c r="AC30" s="176"/>
      <c r="AD30" s="176"/>
      <c r="AE30" s="176"/>
      <c r="AF30" s="176"/>
      <c r="AG30" s="176"/>
      <c r="AH30" s="176"/>
      <c r="AI30" s="176"/>
      <c r="AJ30" s="176"/>
      <c r="AK30" s="176"/>
      <c r="AL30" s="176"/>
      <c r="AM30" s="176"/>
      <c r="AN30" s="176"/>
      <c r="AO30" s="176"/>
      <c r="AP30" s="176"/>
      <c r="AQ30" s="176"/>
      <c r="AR30" s="176"/>
      <c r="AS30" s="176"/>
      <c r="AT30" s="176"/>
      <c r="AU30" s="176"/>
      <c r="AV30" s="176"/>
      <c r="AW30" s="176"/>
      <c r="AX30" s="176"/>
      <c r="AY30" s="176"/>
      <c r="AZ30" s="176"/>
      <c r="BA30" s="176"/>
      <c r="BB30" s="176"/>
      <c r="BC30" s="176"/>
      <c r="BD30" s="176"/>
      <c r="BE30" s="176"/>
      <c r="BF30" s="176"/>
      <c r="BG30" s="176"/>
      <c r="BH30" s="176"/>
      <c r="BI30" s="176"/>
      <c r="BJ30" s="176"/>
      <c r="BK30" s="176"/>
      <c r="BL30" s="176"/>
      <c r="BM30" s="176"/>
      <c r="BN30" s="176"/>
      <c r="BO30" s="176"/>
      <c r="BP30" s="176"/>
      <c r="BQ30" s="176"/>
      <c r="BR30" s="176"/>
      <c r="BS30" s="176"/>
      <c r="BT30" s="176"/>
      <c r="BU30" s="176"/>
      <c r="BV30" s="176"/>
      <c r="BW30" s="176"/>
      <c r="BX30" s="176"/>
      <c r="BY30" s="176"/>
      <c r="BZ30" s="176"/>
      <c r="CA30" s="176"/>
      <c r="CB30" s="176"/>
      <c r="CC30" s="176"/>
      <c r="CD30" s="176"/>
      <c r="CE30" s="176"/>
      <c r="CF30" s="176"/>
      <c r="CG30" s="176"/>
      <c r="CH30" s="176"/>
      <c r="CI30" s="176"/>
      <c r="CJ30" s="176"/>
      <c r="CK30" s="176"/>
      <c r="CL30" s="176"/>
      <c r="CM30" s="176"/>
      <c r="CN30" s="176"/>
      <c r="CO30" s="176"/>
      <c r="CP30" s="176"/>
      <c r="CQ30" s="176"/>
      <c r="CR30" s="176"/>
      <c r="CS30" s="176"/>
      <c r="CT30" s="176"/>
      <c r="CU30" s="176"/>
      <c r="CV30" s="176"/>
      <c r="CW30" s="176"/>
      <c r="CX30" s="176"/>
      <c r="CY30" s="176"/>
      <c r="CZ30" s="176"/>
      <c r="DA30" s="176"/>
      <c r="DB30" s="176"/>
      <c r="DC30" s="176"/>
      <c r="DD30" s="176"/>
      <c r="DE30" s="176"/>
      <c r="DF30" s="176"/>
      <c r="DG30" s="176"/>
      <c r="DH30" s="176"/>
      <c r="DI30" s="176"/>
      <c r="DJ30" s="176"/>
      <c r="DK30" s="176"/>
      <c r="DL30" s="176"/>
      <c r="DM30" s="176"/>
      <c r="DN30" s="176"/>
      <c r="DO30" s="176"/>
      <c r="DP30" s="176"/>
      <c r="DQ30" s="176"/>
      <c r="DR30" s="176"/>
      <c r="DS30" s="176"/>
      <c r="DT30" s="176"/>
      <c r="DU30" s="176"/>
      <c r="DV30" s="176"/>
      <c r="DW30" s="176"/>
      <c r="DX30" s="176"/>
      <c r="DY30" s="176"/>
      <c r="DZ30" s="176"/>
      <c r="EA30" s="176"/>
      <c r="EB30" s="176"/>
      <c r="EC30" s="176"/>
      <c r="ED30" s="176"/>
      <c r="EE30" s="176"/>
      <c r="EF30" s="176"/>
      <c r="EG30" s="176"/>
      <c r="EH30" s="176"/>
      <c r="EI30" s="176"/>
      <c r="EJ30" s="176"/>
      <c r="EK30" s="176"/>
      <c r="EL30" s="176"/>
      <c r="EM30" s="176"/>
      <c r="EN30" s="176"/>
      <c r="EO30" s="176"/>
      <c r="EP30" s="176"/>
      <c r="EQ30" s="176"/>
      <c r="ER30" s="176"/>
      <c r="ES30" s="176"/>
      <c r="ET30" s="176"/>
      <c r="EU30" s="176"/>
      <c r="EV30" s="176"/>
      <c r="EW30" s="176"/>
      <c r="EX30" s="176"/>
      <c r="EY30" s="176"/>
      <c r="EZ30" s="176"/>
      <c r="FA30" s="176"/>
      <c r="FB30" s="176"/>
      <c r="FC30" s="176"/>
      <c r="FD30" s="176"/>
      <c r="FE30" s="176"/>
      <c r="FF30" s="176"/>
      <c r="FG30" s="176"/>
      <c r="FH30" s="176"/>
      <c r="FI30" s="176"/>
      <c r="FJ30" s="176"/>
      <c r="FK30" s="176"/>
      <c r="FL30" s="176"/>
      <c r="FM30" s="176"/>
      <c r="FN30" s="176"/>
      <c r="FO30" s="176"/>
      <c r="FP30" s="176"/>
      <c r="FQ30" s="176"/>
      <c r="FR30" s="176"/>
      <c r="FS30" s="176"/>
      <c r="FT30" s="176"/>
      <c r="FU30" s="176"/>
      <c r="FV30" s="176"/>
      <c r="FW30" s="176"/>
      <c r="FX30" s="176"/>
      <c r="FY30" s="176"/>
      <c r="FZ30" s="176"/>
      <c r="GA30" s="176"/>
      <c r="GB30" s="176"/>
      <c r="GC30" s="176"/>
      <c r="GD30" s="176"/>
      <c r="GE30" s="176"/>
      <c r="GF30" s="176"/>
      <c r="GG30" s="176"/>
      <c r="GH30" s="176"/>
      <c r="GI30" s="176"/>
      <c r="GJ30" s="176"/>
      <c r="GK30" s="176"/>
      <c r="GL30" s="176"/>
      <c r="GM30" s="176"/>
      <c r="GN30" s="176"/>
      <c r="GO30" s="176"/>
      <c r="GP30" s="176"/>
      <c r="GQ30" s="176"/>
      <c r="GR30" s="176"/>
      <c r="GS30" s="176"/>
      <c r="GT30" s="176"/>
      <c r="GU30" s="176"/>
      <c r="GV30" s="176"/>
      <c r="GW30" s="176"/>
      <c r="GX30" s="176"/>
      <c r="GY30" s="176"/>
      <c r="GZ30" s="176"/>
      <c r="HA30" s="176"/>
      <c r="HB30" s="176"/>
      <c r="HC30" s="176"/>
      <c r="HD30" s="176"/>
      <c r="HE30" s="176"/>
      <c r="HF30" s="176"/>
      <c r="HG30" s="176"/>
      <c r="HH30" s="176"/>
      <c r="HI30" s="176"/>
      <c r="HJ30" s="176"/>
      <c r="HK30" s="176"/>
      <c r="HL30" s="176"/>
      <c r="HM30" s="176"/>
      <c r="HN30" s="176"/>
      <c r="HO30" s="176"/>
      <c r="HP30" s="176"/>
      <c r="HQ30" s="176"/>
      <c r="HR30" s="176"/>
      <c r="HS30" s="176"/>
      <c r="HT30" s="176"/>
      <c r="HU30" s="176"/>
      <c r="HV30" s="176"/>
      <c r="HW30" s="176"/>
      <c r="HX30" s="176"/>
      <c r="HY30" s="176"/>
      <c r="HZ30" s="176"/>
      <c r="IA30" s="176"/>
      <c r="IB30" s="176"/>
      <c r="IC30" s="176"/>
      <c r="ID30" s="176"/>
      <c r="IE30" s="176"/>
      <c r="IF30" s="176"/>
      <c r="IG30" s="176"/>
      <c r="IH30" s="176"/>
      <c r="II30" s="176"/>
      <c r="IJ30" s="176"/>
      <c r="IK30" s="176"/>
      <c r="IL30" s="176"/>
      <c r="IM30" s="176"/>
      <c r="IN30" s="176"/>
      <c r="IO30" s="176"/>
      <c r="IP30" s="176"/>
      <c r="IQ30" s="176"/>
      <c r="IR30" s="176"/>
      <c r="IS30" s="176"/>
    </row>
    <row r="31" spans="1:253" s="175" customFormat="1" ht="27.75" customHeight="1" x14ac:dyDescent="0.2">
      <c r="A31" s="94" t="s">
        <v>140</v>
      </c>
      <c r="B31" s="199" t="s">
        <v>311</v>
      </c>
      <c r="C31" s="91" t="s">
        <v>312</v>
      </c>
      <c r="D31" s="103"/>
      <c r="E31" s="103"/>
      <c r="F31" s="192">
        <v>300</v>
      </c>
      <c r="G31" s="192">
        <f>F31</f>
        <v>300</v>
      </c>
      <c r="J31" s="176"/>
      <c r="K31" s="176"/>
      <c r="L31" s="176"/>
      <c r="M31" s="176"/>
      <c r="N31" s="176"/>
      <c r="O31" s="176"/>
      <c r="P31" s="176"/>
      <c r="Q31" s="176"/>
      <c r="R31" s="176"/>
      <c r="S31" s="176"/>
      <c r="T31" s="176"/>
      <c r="U31" s="176"/>
      <c r="V31" s="176"/>
      <c r="W31" s="176"/>
      <c r="X31" s="176"/>
      <c r="Y31" s="176"/>
      <c r="Z31" s="176"/>
      <c r="AA31" s="176"/>
      <c r="AB31" s="176"/>
      <c r="AC31" s="176"/>
      <c r="AD31" s="176"/>
      <c r="AE31" s="176"/>
      <c r="AF31" s="176"/>
      <c r="AG31" s="176"/>
      <c r="AH31" s="176"/>
      <c r="AI31" s="176"/>
      <c r="AJ31" s="176"/>
      <c r="AK31" s="176"/>
      <c r="AL31" s="176"/>
      <c r="AM31" s="176"/>
      <c r="AN31" s="176"/>
      <c r="AO31" s="176"/>
      <c r="AP31" s="176"/>
      <c r="AQ31" s="176"/>
      <c r="AR31" s="176"/>
      <c r="AS31" s="176"/>
      <c r="AT31" s="176"/>
      <c r="AU31" s="176"/>
      <c r="AV31" s="176"/>
      <c r="AW31" s="176"/>
      <c r="AX31" s="176"/>
      <c r="AY31" s="176"/>
      <c r="AZ31" s="176"/>
      <c r="BA31" s="176"/>
      <c r="BB31" s="176"/>
      <c r="BC31" s="176"/>
      <c r="BD31" s="176"/>
      <c r="BE31" s="176"/>
      <c r="BF31" s="176"/>
      <c r="BG31" s="176"/>
      <c r="BH31" s="176"/>
      <c r="BI31" s="176"/>
      <c r="BJ31" s="176"/>
      <c r="BK31" s="176"/>
      <c r="BL31" s="176"/>
      <c r="BM31" s="176"/>
      <c r="BN31" s="176"/>
      <c r="BO31" s="176"/>
      <c r="BP31" s="176"/>
      <c r="BQ31" s="176"/>
      <c r="BR31" s="176"/>
      <c r="BS31" s="176"/>
      <c r="BT31" s="176"/>
      <c r="BU31" s="176"/>
      <c r="BV31" s="176"/>
      <c r="BW31" s="176"/>
      <c r="BX31" s="176"/>
      <c r="BY31" s="176"/>
      <c r="BZ31" s="176"/>
      <c r="CA31" s="176"/>
      <c r="CB31" s="176"/>
      <c r="CC31" s="176"/>
      <c r="CD31" s="176"/>
      <c r="CE31" s="176"/>
      <c r="CF31" s="176"/>
      <c r="CG31" s="176"/>
      <c r="CH31" s="176"/>
      <c r="CI31" s="176"/>
      <c r="CJ31" s="176"/>
      <c r="CK31" s="176"/>
      <c r="CL31" s="176"/>
      <c r="CM31" s="176"/>
      <c r="CN31" s="176"/>
      <c r="CO31" s="176"/>
      <c r="CP31" s="176"/>
      <c r="CQ31" s="176"/>
      <c r="CR31" s="176"/>
      <c r="CS31" s="176"/>
      <c r="CT31" s="176"/>
      <c r="CU31" s="176"/>
      <c r="CV31" s="176"/>
      <c r="CW31" s="176"/>
      <c r="CX31" s="176"/>
      <c r="CY31" s="176"/>
      <c r="CZ31" s="176"/>
      <c r="DA31" s="176"/>
      <c r="DB31" s="176"/>
      <c r="DC31" s="176"/>
      <c r="DD31" s="176"/>
      <c r="DE31" s="176"/>
      <c r="DF31" s="176"/>
      <c r="DG31" s="176"/>
      <c r="DH31" s="176"/>
      <c r="DI31" s="176"/>
      <c r="DJ31" s="176"/>
      <c r="DK31" s="176"/>
      <c r="DL31" s="176"/>
      <c r="DM31" s="176"/>
      <c r="DN31" s="176"/>
      <c r="DO31" s="176"/>
      <c r="DP31" s="176"/>
      <c r="DQ31" s="176"/>
      <c r="DR31" s="176"/>
      <c r="DS31" s="176"/>
      <c r="DT31" s="176"/>
      <c r="DU31" s="176"/>
      <c r="DV31" s="176"/>
      <c r="DW31" s="176"/>
      <c r="DX31" s="176"/>
      <c r="DY31" s="176"/>
      <c r="DZ31" s="176"/>
      <c r="EA31" s="176"/>
      <c r="EB31" s="176"/>
      <c r="EC31" s="176"/>
      <c r="ED31" s="176"/>
      <c r="EE31" s="176"/>
      <c r="EF31" s="176"/>
      <c r="EG31" s="176"/>
      <c r="EH31" s="176"/>
      <c r="EI31" s="176"/>
      <c r="EJ31" s="176"/>
      <c r="EK31" s="176"/>
      <c r="EL31" s="176"/>
      <c r="EM31" s="176"/>
      <c r="EN31" s="176"/>
      <c r="EO31" s="176"/>
      <c r="EP31" s="176"/>
      <c r="EQ31" s="176"/>
      <c r="ER31" s="176"/>
      <c r="ES31" s="176"/>
      <c r="ET31" s="176"/>
      <c r="EU31" s="176"/>
      <c r="EV31" s="176"/>
      <c r="EW31" s="176"/>
      <c r="EX31" s="176"/>
      <c r="EY31" s="176"/>
      <c r="EZ31" s="176"/>
      <c r="FA31" s="176"/>
      <c r="FB31" s="176"/>
      <c r="FC31" s="176"/>
      <c r="FD31" s="176"/>
      <c r="FE31" s="176"/>
      <c r="FF31" s="176"/>
      <c r="FG31" s="176"/>
      <c r="FH31" s="176"/>
      <c r="FI31" s="176"/>
      <c r="FJ31" s="176"/>
      <c r="FK31" s="176"/>
      <c r="FL31" s="176"/>
      <c r="FM31" s="176"/>
      <c r="FN31" s="176"/>
      <c r="FO31" s="176"/>
      <c r="FP31" s="176"/>
      <c r="FQ31" s="176"/>
      <c r="FR31" s="176"/>
      <c r="FS31" s="176"/>
      <c r="FT31" s="176"/>
      <c r="FU31" s="176"/>
      <c r="FV31" s="176"/>
      <c r="FW31" s="176"/>
      <c r="FX31" s="176"/>
      <c r="FY31" s="176"/>
      <c r="FZ31" s="176"/>
      <c r="GA31" s="176"/>
      <c r="GB31" s="176"/>
      <c r="GC31" s="176"/>
      <c r="GD31" s="176"/>
      <c r="GE31" s="176"/>
      <c r="GF31" s="176"/>
      <c r="GG31" s="176"/>
      <c r="GH31" s="176"/>
      <c r="GI31" s="176"/>
      <c r="GJ31" s="176"/>
      <c r="GK31" s="176"/>
      <c r="GL31" s="176"/>
      <c r="GM31" s="176"/>
      <c r="GN31" s="176"/>
      <c r="GO31" s="176"/>
      <c r="GP31" s="176"/>
      <c r="GQ31" s="176"/>
      <c r="GR31" s="176"/>
      <c r="GS31" s="176"/>
      <c r="GT31" s="176"/>
      <c r="GU31" s="176"/>
      <c r="GV31" s="176"/>
      <c r="GW31" s="176"/>
      <c r="GX31" s="176"/>
      <c r="GY31" s="176"/>
      <c r="GZ31" s="176"/>
      <c r="HA31" s="176"/>
      <c r="HB31" s="176"/>
      <c r="HC31" s="176"/>
      <c r="HD31" s="176"/>
      <c r="HE31" s="176"/>
      <c r="HF31" s="176"/>
      <c r="HG31" s="176"/>
      <c r="HH31" s="176"/>
      <c r="HI31" s="176"/>
      <c r="HJ31" s="176"/>
      <c r="HK31" s="176"/>
      <c r="HL31" s="176"/>
      <c r="HM31" s="176"/>
      <c r="HN31" s="176"/>
      <c r="HO31" s="176"/>
      <c r="HP31" s="176"/>
      <c r="HQ31" s="176"/>
      <c r="HR31" s="176"/>
      <c r="HS31" s="176"/>
      <c r="HT31" s="176"/>
      <c r="HU31" s="176"/>
      <c r="HV31" s="176"/>
      <c r="HW31" s="176"/>
      <c r="HX31" s="176"/>
      <c r="HY31" s="176"/>
      <c r="HZ31" s="176"/>
      <c r="IA31" s="176"/>
      <c r="IB31" s="176"/>
      <c r="IC31" s="176"/>
      <c r="ID31" s="176"/>
      <c r="IE31" s="176"/>
      <c r="IF31" s="176"/>
      <c r="IG31" s="176"/>
      <c r="IH31" s="176"/>
      <c r="II31" s="176"/>
      <c r="IJ31" s="176"/>
      <c r="IK31" s="176"/>
      <c r="IL31" s="176"/>
      <c r="IM31" s="176"/>
      <c r="IN31" s="176"/>
      <c r="IO31" s="176"/>
      <c r="IP31" s="176"/>
      <c r="IQ31" s="176"/>
      <c r="IR31" s="176"/>
      <c r="IS31" s="176"/>
    </row>
    <row r="32" spans="1:253" s="173" customFormat="1" ht="18" customHeight="1" x14ac:dyDescent="0.2">
      <c r="A32" s="411" t="s">
        <v>279</v>
      </c>
      <c r="B32" s="412"/>
      <c r="C32" s="412"/>
      <c r="D32" s="412"/>
      <c r="E32" s="412"/>
      <c r="F32" s="413"/>
      <c r="G32" s="111">
        <f>SUM(G29:G31)</f>
        <v>11824.6</v>
      </c>
      <c r="J32" s="172"/>
      <c r="K32" s="172"/>
      <c r="L32" s="172"/>
      <c r="M32" s="172"/>
      <c r="N32" s="172"/>
      <c r="O32" s="172"/>
      <c r="P32" s="172"/>
      <c r="Q32" s="172"/>
      <c r="R32" s="172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  <c r="AF32" s="172"/>
      <c r="AG32" s="172"/>
      <c r="AH32" s="172"/>
      <c r="AI32" s="172"/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  <c r="AU32" s="172"/>
      <c r="AV32" s="172"/>
      <c r="AW32" s="172"/>
      <c r="AX32" s="172"/>
      <c r="AY32" s="172"/>
      <c r="AZ32" s="172"/>
      <c r="BA32" s="172"/>
      <c r="BB32" s="172"/>
      <c r="BC32" s="172"/>
      <c r="BD32" s="172"/>
      <c r="BE32" s="172"/>
      <c r="BF32" s="172"/>
      <c r="BG32" s="172"/>
      <c r="BH32" s="172"/>
      <c r="BI32" s="172"/>
      <c r="BJ32" s="172"/>
      <c r="BK32" s="172"/>
      <c r="BL32" s="172"/>
      <c r="BM32" s="172"/>
      <c r="BN32" s="172"/>
      <c r="BO32" s="172"/>
      <c r="BP32" s="172"/>
      <c r="BQ32" s="172"/>
      <c r="BR32" s="172"/>
      <c r="BS32" s="172"/>
      <c r="BT32" s="172"/>
      <c r="BU32" s="172"/>
      <c r="BV32" s="172"/>
      <c r="BW32" s="172"/>
      <c r="BX32" s="172"/>
      <c r="BY32" s="172"/>
      <c r="BZ32" s="172"/>
      <c r="CA32" s="172"/>
      <c r="CB32" s="172"/>
      <c r="CC32" s="172"/>
      <c r="CD32" s="172"/>
      <c r="CE32" s="172"/>
      <c r="CF32" s="172"/>
      <c r="CG32" s="172"/>
      <c r="CH32" s="172"/>
      <c r="CI32" s="172"/>
      <c r="CJ32" s="172"/>
      <c r="CK32" s="172"/>
      <c r="CL32" s="172"/>
      <c r="CM32" s="172"/>
      <c r="CN32" s="172"/>
      <c r="CO32" s="172"/>
      <c r="CP32" s="172"/>
      <c r="CQ32" s="172"/>
      <c r="CR32" s="172"/>
      <c r="CS32" s="172"/>
      <c r="CT32" s="172"/>
      <c r="CU32" s="172"/>
      <c r="CV32" s="172"/>
      <c r="CW32" s="172"/>
      <c r="CX32" s="172"/>
      <c r="CY32" s="172"/>
      <c r="CZ32" s="172"/>
      <c r="DA32" s="172"/>
      <c r="DB32" s="172"/>
      <c r="DC32" s="172"/>
      <c r="DD32" s="172"/>
      <c r="DE32" s="172"/>
      <c r="DF32" s="172"/>
      <c r="DG32" s="172"/>
      <c r="DH32" s="172"/>
      <c r="DI32" s="172"/>
      <c r="DJ32" s="172"/>
      <c r="DK32" s="172"/>
      <c r="DL32" s="172"/>
      <c r="DM32" s="172"/>
      <c r="DN32" s="172"/>
      <c r="DO32" s="172"/>
      <c r="DP32" s="172"/>
      <c r="DQ32" s="172"/>
      <c r="DR32" s="172"/>
      <c r="DS32" s="172"/>
      <c r="DT32" s="172"/>
      <c r="DU32" s="172"/>
      <c r="DV32" s="172"/>
      <c r="DW32" s="172"/>
      <c r="DX32" s="172"/>
      <c r="DY32" s="172"/>
      <c r="DZ32" s="172"/>
      <c r="EA32" s="172"/>
      <c r="EB32" s="172"/>
      <c r="EC32" s="172"/>
      <c r="ED32" s="172"/>
      <c r="EE32" s="172"/>
      <c r="EF32" s="172"/>
      <c r="EG32" s="172"/>
      <c r="EH32" s="172"/>
      <c r="EI32" s="172"/>
      <c r="EJ32" s="172"/>
      <c r="EK32" s="172"/>
      <c r="EL32" s="172"/>
      <c r="EM32" s="172"/>
      <c r="EN32" s="172"/>
      <c r="EO32" s="172"/>
      <c r="EP32" s="172"/>
      <c r="EQ32" s="172"/>
      <c r="ER32" s="172"/>
      <c r="ES32" s="172"/>
      <c r="ET32" s="172"/>
      <c r="EU32" s="172"/>
      <c r="EV32" s="172"/>
      <c r="EW32" s="172"/>
      <c r="EX32" s="172"/>
      <c r="EY32" s="172"/>
      <c r="EZ32" s="172"/>
      <c r="FA32" s="172"/>
      <c r="FB32" s="172"/>
      <c r="FC32" s="172"/>
      <c r="FD32" s="172"/>
      <c r="FE32" s="172"/>
      <c r="FF32" s="172"/>
      <c r="FG32" s="172"/>
      <c r="FH32" s="172"/>
      <c r="FI32" s="172"/>
      <c r="FJ32" s="172"/>
      <c r="FK32" s="172"/>
      <c r="FL32" s="172"/>
      <c r="FM32" s="172"/>
      <c r="FN32" s="172"/>
      <c r="FO32" s="172"/>
      <c r="FP32" s="172"/>
      <c r="FQ32" s="172"/>
      <c r="FR32" s="172"/>
      <c r="FS32" s="172"/>
      <c r="FT32" s="172"/>
      <c r="FU32" s="172"/>
      <c r="FV32" s="172"/>
      <c r="FW32" s="172"/>
      <c r="FX32" s="172"/>
      <c r="FY32" s="172"/>
      <c r="FZ32" s="172"/>
      <c r="GA32" s="172"/>
      <c r="GB32" s="172"/>
      <c r="GC32" s="172"/>
      <c r="GD32" s="172"/>
      <c r="GE32" s="172"/>
      <c r="GF32" s="172"/>
      <c r="GG32" s="172"/>
      <c r="GH32" s="172"/>
      <c r="GI32" s="172"/>
      <c r="GJ32" s="172"/>
      <c r="GK32" s="172"/>
      <c r="GL32" s="172"/>
      <c r="GM32" s="172"/>
      <c r="GN32" s="172"/>
      <c r="GO32" s="172"/>
      <c r="GP32" s="172"/>
      <c r="GQ32" s="172"/>
      <c r="GR32" s="172"/>
      <c r="GS32" s="172"/>
      <c r="GT32" s="172"/>
      <c r="GU32" s="172"/>
      <c r="GV32" s="172"/>
      <c r="GW32" s="172"/>
      <c r="GX32" s="172"/>
      <c r="GY32" s="172"/>
      <c r="GZ32" s="172"/>
      <c r="HA32" s="172"/>
      <c r="HB32" s="172"/>
      <c r="HC32" s="172"/>
      <c r="HD32" s="172"/>
      <c r="HE32" s="172"/>
      <c r="HF32" s="172"/>
      <c r="HG32" s="172"/>
      <c r="HH32" s="172"/>
      <c r="HI32" s="172"/>
      <c r="HJ32" s="172"/>
      <c r="HK32" s="172"/>
      <c r="HL32" s="172"/>
      <c r="HM32" s="172"/>
      <c r="HN32" s="172"/>
      <c r="HO32" s="172"/>
      <c r="HP32" s="172"/>
      <c r="HQ32" s="172"/>
      <c r="HR32" s="172"/>
      <c r="HS32" s="172"/>
      <c r="HT32" s="172"/>
      <c r="HU32" s="172"/>
      <c r="HV32" s="172"/>
      <c r="HW32" s="172"/>
      <c r="HX32" s="172"/>
      <c r="HY32" s="172"/>
      <c r="HZ32" s="172"/>
      <c r="IA32" s="172"/>
      <c r="IB32" s="172"/>
      <c r="IC32" s="172"/>
      <c r="ID32" s="172"/>
      <c r="IE32" s="172"/>
      <c r="IF32" s="172"/>
      <c r="IG32" s="172"/>
      <c r="IH32" s="172"/>
      <c r="II32" s="172"/>
      <c r="IJ32" s="172"/>
      <c r="IK32" s="172"/>
      <c r="IL32" s="172"/>
      <c r="IM32" s="172"/>
      <c r="IN32" s="172"/>
      <c r="IO32" s="172"/>
      <c r="IP32" s="172"/>
      <c r="IQ32" s="172"/>
      <c r="IR32" s="172"/>
      <c r="IS32" s="172"/>
    </row>
    <row r="33" spans="1:254" s="174" customFormat="1" ht="18" customHeight="1" x14ac:dyDescent="0.2">
      <c r="A33" s="411" t="s">
        <v>42</v>
      </c>
      <c r="B33" s="412"/>
      <c r="C33" s="412"/>
      <c r="D33" s="412"/>
      <c r="E33" s="412"/>
      <c r="F33" s="413"/>
      <c r="G33" s="111">
        <f>ROUND(G18+G23+G32,0)</f>
        <v>13221</v>
      </c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  <c r="BI33" s="177"/>
      <c r="BJ33" s="177"/>
      <c r="BK33" s="177"/>
      <c r="BL33" s="177"/>
      <c r="BM33" s="177"/>
      <c r="BN33" s="177"/>
      <c r="BO33" s="177"/>
      <c r="BP33" s="177"/>
      <c r="BQ33" s="177"/>
      <c r="BR33" s="177"/>
      <c r="BS33" s="177"/>
      <c r="BT33" s="177"/>
      <c r="BU33" s="177"/>
      <c r="BV33" s="177"/>
      <c r="BW33" s="177"/>
      <c r="BX33" s="177"/>
      <c r="BY33" s="177"/>
      <c r="BZ33" s="177"/>
      <c r="CA33" s="177"/>
      <c r="CB33" s="177"/>
      <c r="CC33" s="177"/>
      <c r="CD33" s="177"/>
      <c r="CE33" s="177"/>
      <c r="CF33" s="177"/>
      <c r="CG33" s="177"/>
      <c r="CH33" s="177"/>
      <c r="CI33" s="177"/>
      <c r="CJ33" s="177"/>
      <c r="CK33" s="177"/>
      <c r="CL33" s="177"/>
      <c r="CM33" s="177"/>
      <c r="CN33" s="177"/>
      <c r="CO33" s="177"/>
      <c r="CP33" s="177"/>
      <c r="CQ33" s="177"/>
      <c r="CR33" s="177"/>
      <c r="CS33" s="177"/>
      <c r="CT33" s="177"/>
      <c r="CU33" s="177"/>
      <c r="CV33" s="177"/>
      <c r="CW33" s="177"/>
      <c r="CX33" s="177"/>
      <c r="CY33" s="177"/>
      <c r="CZ33" s="177"/>
      <c r="DA33" s="177"/>
      <c r="DB33" s="177"/>
      <c r="DC33" s="177"/>
      <c r="DD33" s="177"/>
      <c r="DE33" s="177"/>
      <c r="DF33" s="177"/>
      <c r="DG33" s="177"/>
      <c r="DH33" s="177"/>
      <c r="DI33" s="177"/>
      <c r="DJ33" s="177"/>
      <c r="DK33" s="177"/>
      <c r="DL33" s="177"/>
      <c r="DM33" s="177"/>
      <c r="DN33" s="177"/>
      <c r="DO33" s="177"/>
      <c r="DP33" s="177"/>
      <c r="DQ33" s="177"/>
      <c r="DR33" s="177"/>
      <c r="DS33" s="177"/>
      <c r="DT33" s="177"/>
      <c r="DU33" s="177"/>
      <c r="DV33" s="177"/>
      <c r="DW33" s="177"/>
      <c r="DX33" s="177"/>
      <c r="DY33" s="177"/>
      <c r="DZ33" s="177"/>
      <c r="EA33" s="177"/>
      <c r="EB33" s="177"/>
      <c r="EC33" s="177"/>
      <c r="ED33" s="177"/>
      <c r="EE33" s="177"/>
      <c r="EF33" s="177"/>
      <c r="EG33" s="177"/>
      <c r="EH33" s="177"/>
      <c r="EI33" s="177"/>
      <c r="EJ33" s="177"/>
      <c r="EK33" s="177"/>
      <c r="EL33" s="177"/>
      <c r="EM33" s="177"/>
      <c r="EN33" s="177"/>
      <c r="EO33" s="177"/>
      <c r="EP33" s="177"/>
      <c r="EQ33" s="177"/>
      <c r="ER33" s="177"/>
      <c r="ES33" s="177"/>
      <c r="ET33" s="177"/>
      <c r="EU33" s="177"/>
      <c r="EV33" s="177"/>
      <c r="EW33" s="177"/>
      <c r="EX33" s="177"/>
      <c r="EY33" s="177"/>
      <c r="EZ33" s="177"/>
      <c r="FA33" s="177"/>
      <c r="FB33" s="177"/>
      <c r="FC33" s="177"/>
      <c r="FD33" s="177"/>
      <c r="FE33" s="177"/>
      <c r="FF33" s="177"/>
      <c r="FG33" s="177"/>
      <c r="FH33" s="177"/>
      <c r="FI33" s="177"/>
      <c r="FJ33" s="177"/>
      <c r="FK33" s="177"/>
      <c r="FL33" s="177"/>
      <c r="FM33" s="177"/>
      <c r="FN33" s="177"/>
      <c r="FO33" s="177"/>
      <c r="FP33" s="177"/>
      <c r="FQ33" s="177"/>
      <c r="FR33" s="177"/>
      <c r="FS33" s="177"/>
      <c r="FT33" s="177"/>
      <c r="FU33" s="177"/>
      <c r="FV33" s="177"/>
      <c r="FW33" s="177"/>
      <c r="FX33" s="177"/>
      <c r="FY33" s="177"/>
      <c r="FZ33" s="177"/>
      <c r="GA33" s="177"/>
      <c r="GB33" s="177"/>
      <c r="GC33" s="177"/>
      <c r="GD33" s="177"/>
      <c r="GE33" s="177"/>
      <c r="GF33" s="177"/>
      <c r="GG33" s="177"/>
      <c r="GH33" s="177"/>
      <c r="GI33" s="177"/>
      <c r="GJ33" s="177"/>
      <c r="GK33" s="177"/>
      <c r="GL33" s="177"/>
      <c r="GM33" s="177"/>
      <c r="GN33" s="177"/>
      <c r="GO33" s="177"/>
      <c r="GP33" s="177"/>
      <c r="GQ33" s="177"/>
      <c r="GR33" s="177"/>
      <c r="GS33" s="177"/>
      <c r="GT33" s="177"/>
      <c r="GU33" s="177"/>
      <c r="GV33" s="177"/>
      <c r="GW33" s="177"/>
      <c r="GX33" s="177"/>
      <c r="GY33" s="177"/>
      <c r="GZ33" s="177"/>
      <c r="HA33" s="177"/>
      <c r="HB33" s="177"/>
      <c r="HC33" s="177"/>
      <c r="HD33" s="177"/>
      <c r="HE33" s="177"/>
      <c r="HF33" s="177"/>
      <c r="HG33" s="177"/>
      <c r="HH33" s="177"/>
      <c r="HI33" s="177"/>
      <c r="HJ33" s="177"/>
      <c r="HK33" s="177"/>
      <c r="HL33" s="177"/>
      <c r="HM33" s="177"/>
      <c r="HN33" s="177"/>
      <c r="HO33" s="177"/>
      <c r="HP33" s="177"/>
      <c r="HQ33" s="177"/>
      <c r="HR33" s="177"/>
      <c r="HS33" s="177"/>
      <c r="HT33" s="177"/>
      <c r="HU33" s="177"/>
      <c r="HV33" s="177"/>
      <c r="HW33" s="177"/>
      <c r="HX33" s="177"/>
      <c r="HY33" s="177"/>
      <c r="HZ33" s="177"/>
      <c r="IA33" s="177"/>
      <c r="IB33" s="177"/>
      <c r="IC33" s="177"/>
      <c r="ID33" s="177"/>
      <c r="IE33" s="177"/>
      <c r="IF33" s="177"/>
      <c r="IG33" s="177"/>
      <c r="IH33" s="177"/>
      <c r="II33" s="177"/>
      <c r="IJ33" s="177"/>
      <c r="IK33" s="177"/>
      <c r="IL33" s="177"/>
      <c r="IM33" s="177"/>
      <c r="IN33" s="177"/>
      <c r="IO33" s="177"/>
      <c r="IP33" s="177"/>
      <c r="IQ33" s="177"/>
      <c r="IR33" s="177"/>
      <c r="IS33" s="177"/>
    </row>
    <row r="34" spans="1:254" s="173" customFormat="1" ht="14.25" customHeight="1" x14ac:dyDescent="0.2">
      <c r="A34" s="117"/>
      <c r="B34" s="122" t="s">
        <v>325</v>
      </c>
      <c r="C34" s="414" t="s">
        <v>313</v>
      </c>
      <c r="D34" s="415"/>
      <c r="E34" s="416"/>
      <c r="F34" s="198"/>
      <c r="G34" s="119">
        <f>ROUND(G33*1.15,0)</f>
        <v>15204</v>
      </c>
      <c r="J34" s="172"/>
      <c r="K34" s="172"/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  <c r="BA34" s="172"/>
      <c r="BB34" s="172"/>
      <c r="BC34" s="172"/>
      <c r="BD34" s="172"/>
      <c r="BE34" s="172"/>
      <c r="BF34" s="172"/>
      <c r="BG34" s="172"/>
      <c r="BH34" s="172"/>
      <c r="BI34" s="172"/>
      <c r="BJ34" s="172"/>
      <c r="BK34" s="172"/>
      <c r="BL34" s="172"/>
      <c r="BM34" s="172"/>
      <c r="BN34" s="172"/>
      <c r="BO34" s="172"/>
      <c r="BP34" s="172"/>
      <c r="BQ34" s="172"/>
      <c r="BR34" s="172"/>
      <c r="BS34" s="172"/>
      <c r="BT34" s="172"/>
      <c r="BU34" s="172"/>
      <c r="BV34" s="172"/>
      <c r="BW34" s="172"/>
      <c r="BX34" s="172"/>
      <c r="BY34" s="172"/>
      <c r="BZ34" s="172"/>
      <c r="CA34" s="172"/>
      <c r="CB34" s="172"/>
      <c r="CC34" s="172"/>
      <c r="CD34" s="172"/>
      <c r="CE34" s="172"/>
      <c r="CF34" s="172"/>
      <c r="CG34" s="172"/>
      <c r="CH34" s="172"/>
      <c r="CI34" s="172"/>
      <c r="CJ34" s="172"/>
      <c r="CK34" s="172"/>
      <c r="CL34" s="172"/>
      <c r="CM34" s="172"/>
      <c r="CN34" s="172"/>
      <c r="CO34" s="172"/>
      <c r="CP34" s="172"/>
      <c r="CQ34" s="172"/>
      <c r="CR34" s="172"/>
      <c r="CS34" s="172"/>
      <c r="CT34" s="172"/>
      <c r="CU34" s="172"/>
      <c r="CV34" s="172"/>
      <c r="CW34" s="172"/>
      <c r="CX34" s="172"/>
      <c r="CY34" s="172"/>
      <c r="CZ34" s="172"/>
      <c r="DA34" s="172"/>
      <c r="DB34" s="172"/>
      <c r="DC34" s="172"/>
      <c r="DD34" s="172"/>
      <c r="DE34" s="172"/>
      <c r="DF34" s="172"/>
      <c r="DG34" s="172"/>
      <c r="DH34" s="172"/>
      <c r="DI34" s="172"/>
      <c r="DJ34" s="172"/>
      <c r="DK34" s="172"/>
      <c r="DL34" s="172"/>
      <c r="DM34" s="172"/>
      <c r="DN34" s="172"/>
      <c r="DO34" s="172"/>
      <c r="DP34" s="172"/>
      <c r="DQ34" s="172"/>
      <c r="DR34" s="172"/>
      <c r="DS34" s="172"/>
      <c r="DT34" s="172"/>
      <c r="DU34" s="172"/>
      <c r="DV34" s="172"/>
      <c r="DW34" s="172"/>
      <c r="DX34" s="172"/>
      <c r="DY34" s="172"/>
      <c r="DZ34" s="172"/>
      <c r="EA34" s="172"/>
      <c r="EB34" s="172"/>
      <c r="EC34" s="172"/>
      <c r="ED34" s="172"/>
      <c r="EE34" s="172"/>
      <c r="EF34" s="172"/>
      <c r="EG34" s="172"/>
      <c r="EH34" s="172"/>
      <c r="EI34" s="172"/>
      <c r="EJ34" s="172"/>
      <c r="EK34" s="172"/>
      <c r="EL34" s="172"/>
      <c r="EM34" s="172"/>
      <c r="EN34" s="172"/>
      <c r="EO34" s="172"/>
      <c r="EP34" s="172"/>
      <c r="EQ34" s="172"/>
      <c r="ER34" s="172"/>
      <c r="ES34" s="172"/>
      <c r="ET34" s="172"/>
      <c r="EU34" s="172"/>
      <c r="EV34" s="172"/>
      <c r="EW34" s="172"/>
      <c r="EX34" s="172"/>
      <c r="EY34" s="172"/>
      <c r="EZ34" s="172"/>
      <c r="FA34" s="172"/>
      <c r="FB34" s="172"/>
      <c r="FC34" s="172"/>
      <c r="FD34" s="172"/>
      <c r="FE34" s="172"/>
      <c r="FF34" s="172"/>
      <c r="FG34" s="172"/>
      <c r="FH34" s="172"/>
      <c r="FI34" s="172"/>
      <c r="FJ34" s="172"/>
      <c r="FK34" s="172"/>
      <c r="FL34" s="172"/>
      <c r="FM34" s="172"/>
      <c r="FN34" s="172"/>
      <c r="FO34" s="172"/>
      <c r="FP34" s="172"/>
      <c r="FQ34" s="172"/>
      <c r="FR34" s="172"/>
      <c r="FS34" s="172"/>
      <c r="FT34" s="172"/>
      <c r="FU34" s="172"/>
      <c r="FV34" s="172"/>
      <c r="FW34" s="172"/>
      <c r="FX34" s="172"/>
      <c r="FY34" s="172"/>
      <c r="FZ34" s="172"/>
      <c r="GA34" s="172"/>
      <c r="GB34" s="172"/>
      <c r="GC34" s="172"/>
      <c r="GD34" s="172"/>
      <c r="GE34" s="172"/>
      <c r="GF34" s="172"/>
      <c r="GG34" s="172"/>
      <c r="GH34" s="172"/>
      <c r="GI34" s="172"/>
      <c r="GJ34" s="172"/>
      <c r="GK34" s="172"/>
      <c r="GL34" s="172"/>
      <c r="GM34" s="172"/>
      <c r="GN34" s="172"/>
      <c r="GO34" s="172"/>
      <c r="GP34" s="172"/>
      <c r="GQ34" s="172"/>
      <c r="GR34" s="172"/>
      <c r="GS34" s="172"/>
      <c r="GT34" s="172"/>
      <c r="GU34" s="172"/>
      <c r="GV34" s="172"/>
      <c r="GW34" s="172"/>
      <c r="GX34" s="172"/>
      <c r="GY34" s="172"/>
      <c r="GZ34" s="172"/>
      <c r="HA34" s="172"/>
      <c r="HB34" s="172"/>
      <c r="HC34" s="172"/>
      <c r="HD34" s="172"/>
      <c r="HE34" s="172"/>
      <c r="HF34" s="172"/>
      <c r="HG34" s="172"/>
      <c r="HH34" s="172"/>
      <c r="HI34" s="172"/>
      <c r="HJ34" s="172"/>
      <c r="HK34" s="172"/>
      <c r="HL34" s="172"/>
      <c r="HM34" s="172"/>
      <c r="HN34" s="172"/>
      <c r="HO34" s="172"/>
      <c r="HP34" s="172"/>
      <c r="HQ34" s="172"/>
      <c r="HR34" s="172"/>
      <c r="HS34" s="172"/>
      <c r="HT34" s="172"/>
      <c r="HU34" s="172"/>
      <c r="HV34" s="172"/>
      <c r="HW34" s="172"/>
      <c r="HX34" s="172"/>
      <c r="HY34" s="172"/>
      <c r="HZ34" s="172"/>
      <c r="IA34" s="172"/>
      <c r="IB34" s="172"/>
      <c r="IC34" s="172"/>
      <c r="ID34" s="172"/>
      <c r="IE34" s="172"/>
      <c r="IF34" s="172"/>
      <c r="IG34" s="172"/>
      <c r="IH34" s="172"/>
      <c r="II34" s="172"/>
      <c r="IJ34" s="172"/>
      <c r="IK34" s="172"/>
      <c r="IL34" s="172"/>
      <c r="IM34" s="172"/>
      <c r="IN34" s="172"/>
      <c r="IO34" s="172"/>
      <c r="IP34" s="172"/>
      <c r="IQ34" s="172"/>
      <c r="IR34" s="172"/>
      <c r="IS34" s="172"/>
    </row>
    <row r="35" spans="1:254" s="173" customFormat="1" x14ac:dyDescent="0.2">
      <c r="A35" s="407"/>
      <c r="B35" s="408" t="s">
        <v>314</v>
      </c>
      <c r="C35" s="330" t="s">
        <v>55</v>
      </c>
      <c r="D35" s="330"/>
      <c r="E35" s="330"/>
      <c r="F35" s="409">
        <v>69.540000000000006</v>
      </c>
      <c r="G35" s="410">
        <f>ROUND(G34*F35,0)</f>
        <v>1057286</v>
      </c>
      <c r="K35" s="178"/>
      <c r="L35" s="178"/>
      <c r="M35" s="178"/>
      <c r="N35" s="178"/>
      <c r="O35" s="178"/>
      <c r="P35" s="178"/>
      <c r="Q35" s="178"/>
      <c r="R35" s="178"/>
      <c r="S35" s="178"/>
      <c r="T35" s="178"/>
      <c r="U35" s="178"/>
      <c r="V35" s="178"/>
      <c r="W35" s="178"/>
      <c r="X35" s="178"/>
      <c r="Y35" s="178"/>
      <c r="Z35" s="178"/>
      <c r="AA35" s="178"/>
      <c r="AB35" s="178"/>
      <c r="AC35" s="178"/>
      <c r="AD35" s="178"/>
      <c r="AE35" s="178"/>
      <c r="AF35" s="178"/>
      <c r="AG35" s="178"/>
      <c r="AH35" s="178"/>
      <c r="AI35" s="178"/>
      <c r="AJ35" s="178"/>
      <c r="AK35" s="178"/>
      <c r="AL35" s="178"/>
      <c r="AM35" s="178"/>
      <c r="AN35" s="178"/>
      <c r="AO35" s="178"/>
      <c r="AP35" s="178"/>
      <c r="AQ35" s="178"/>
      <c r="AR35" s="178"/>
      <c r="AS35" s="178"/>
      <c r="AT35" s="178"/>
      <c r="AU35" s="178"/>
      <c r="AV35" s="178"/>
      <c r="AW35" s="178"/>
      <c r="AX35" s="178"/>
      <c r="AY35" s="178"/>
      <c r="AZ35" s="178"/>
      <c r="BA35" s="178"/>
      <c r="BB35" s="178"/>
      <c r="BC35" s="178"/>
      <c r="BD35" s="178"/>
      <c r="BE35" s="178"/>
      <c r="BF35" s="178"/>
      <c r="BG35" s="178"/>
      <c r="BH35" s="178"/>
      <c r="BI35" s="178"/>
      <c r="BJ35" s="178"/>
      <c r="BK35" s="178"/>
      <c r="BL35" s="178"/>
      <c r="BM35" s="178"/>
      <c r="BN35" s="178"/>
      <c r="BO35" s="178"/>
      <c r="BP35" s="178"/>
      <c r="BQ35" s="178"/>
      <c r="BR35" s="178"/>
      <c r="BS35" s="178"/>
      <c r="BT35" s="178"/>
      <c r="BU35" s="178"/>
      <c r="BV35" s="178"/>
      <c r="BW35" s="178"/>
      <c r="BX35" s="178"/>
      <c r="BY35" s="178"/>
      <c r="BZ35" s="178"/>
      <c r="CA35" s="178"/>
      <c r="CB35" s="178"/>
      <c r="CC35" s="178"/>
      <c r="CD35" s="178"/>
      <c r="CE35" s="178"/>
      <c r="CF35" s="178"/>
      <c r="CG35" s="178"/>
      <c r="CH35" s="178"/>
      <c r="CI35" s="178"/>
      <c r="CJ35" s="178"/>
      <c r="CK35" s="178"/>
      <c r="CL35" s="178"/>
      <c r="CM35" s="178"/>
      <c r="CN35" s="178"/>
      <c r="CO35" s="178"/>
      <c r="CP35" s="178"/>
      <c r="CQ35" s="178"/>
      <c r="CR35" s="178"/>
      <c r="CS35" s="178"/>
      <c r="CT35" s="178"/>
      <c r="CU35" s="178"/>
      <c r="CV35" s="178"/>
      <c r="CW35" s="178"/>
      <c r="CX35" s="178"/>
      <c r="CY35" s="178"/>
      <c r="CZ35" s="178"/>
      <c r="DA35" s="178"/>
      <c r="DB35" s="178"/>
      <c r="DC35" s="178"/>
      <c r="DD35" s="178"/>
      <c r="DE35" s="178"/>
      <c r="DF35" s="178"/>
      <c r="DG35" s="178"/>
      <c r="DH35" s="178"/>
      <c r="DI35" s="178"/>
      <c r="DJ35" s="178"/>
      <c r="DK35" s="178"/>
      <c r="DL35" s="178"/>
      <c r="DM35" s="178"/>
      <c r="DN35" s="178"/>
      <c r="DO35" s="178"/>
      <c r="DP35" s="178"/>
      <c r="DQ35" s="178"/>
      <c r="DR35" s="178"/>
      <c r="DS35" s="178"/>
      <c r="DT35" s="178"/>
      <c r="DU35" s="178"/>
      <c r="DV35" s="178"/>
      <c r="DW35" s="178"/>
      <c r="DX35" s="178"/>
      <c r="DY35" s="178"/>
      <c r="DZ35" s="178"/>
      <c r="EA35" s="178"/>
      <c r="EB35" s="178"/>
      <c r="EC35" s="178"/>
      <c r="ED35" s="178"/>
      <c r="EE35" s="178"/>
      <c r="EF35" s="178"/>
      <c r="EG35" s="178"/>
      <c r="EH35" s="178"/>
      <c r="EI35" s="178"/>
      <c r="EJ35" s="178"/>
      <c r="EK35" s="178"/>
      <c r="EL35" s="178"/>
      <c r="EM35" s="178"/>
      <c r="EN35" s="178"/>
      <c r="EO35" s="178"/>
      <c r="EP35" s="178"/>
      <c r="EQ35" s="178"/>
      <c r="ER35" s="178"/>
      <c r="ES35" s="178"/>
      <c r="ET35" s="178"/>
      <c r="EU35" s="178"/>
      <c r="EV35" s="178"/>
      <c r="EW35" s="178"/>
      <c r="EX35" s="178"/>
      <c r="EY35" s="178"/>
      <c r="EZ35" s="178"/>
      <c r="FA35" s="178"/>
      <c r="FB35" s="178"/>
      <c r="FC35" s="178"/>
      <c r="FD35" s="178"/>
      <c r="FE35" s="178"/>
      <c r="FF35" s="178"/>
      <c r="FG35" s="178"/>
      <c r="FH35" s="178"/>
      <c r="FI35" s="178"/>
      <c r="FJ35" s="178"/>
      <c r="FK35" s="178"/>
      <c r="FL35" s="178"/>
      <c r="FM35" s="178"/>
      <c r="FN35" s="178"/>
      <c r="FO35" s="178"/>
      <c r="FP35" s="178"/>
      <c r="FQ35" s="178"/>
      <c r="FR35" s="178"/>
      <c r="FS35" s="178"/>
      <c r="FT35" s="178"/>
      <c r="FU35" s="178"/>
      <c r="FV35" s="178"/>
      <c r="FW35" s="178"/>
      <c r="FX35" s="178"/>
      <c r="FY35" s="178"/>
      <c r="FZ35" s="178"/>
      <c r="GA35" s="178"/>
      <c r="GB35" s="178"/>
      <c r="GC35" s="178"/>
      <c r="GD35" s="178"/>
      <c r="GE35" s="178"/>
      <c r="GF35" s="178"/>
      <c r="GG35" s="178"/>
      <c r="GH35" s="178"/>
      <c r="GI35" s="178"/>
      <c r="GJ35" s="178"/>
      <c r="GK35" s="178"/>
      <c r="GL35" s="178"/>
      <c r="GM35" s="178"/>
      <c r="GN35" s="178"/>
      <c r="GO35" s="178"/>
      <c r="GP35" s="178"/>
      <c r="GQ35" s="178"/>
      <c r="GR35" s="178"/>
      <c r="GS35" s="178"/>
      <c r="GT35" s="178"/>
      <c r="GU35" s="178"/>
      <c r="GV35" s="178"/>
      <c r="GW35" s="178"/>
      <c r="GX35" s="178"/>
      <c r="GY35" s="178"/>
      <c r="GZ35" s="178"/>
      <c r="HA35" s="178"/>
      <c r="HB35" s="178"/>
      <c r="HC35" s="178"/>
      <c r="HD35" s="178"/>
      <c r="HE35" s="178"/>
      <c r="HF35" s="178"/>
      <c r="HG35" s="178"/>
      <c r="HH35" s="178"/>
      <c r="HI35" s="178"/>
      <c r="HJ35" s="178"/>
      <c r="HK35" s="178"/>
      <c r="HL35" s="178"/>
      <c r="HM35" s="178"/>
      <c r="HN35" s="178"/>
      <c r="HO35" s="178"/>
      <c r="HP35" s="178"/>
      <c r="HQ35" s="178"/>
      <c r="HR35" s="178"/>
      <c r="HS35" s="178"/>
      <c r="HT35" s="178"/>
      <c r="HU35" s="178"/>
      <c r="HV35" s="178"/>
      <c r="HW35" s="178"/>
      <c r="HX35" s="178"/>
      <c r="HY35" s="178"/>
      <c r="HZ35" s="178"/>
      <c r="IA35" s="178"/>
      <c r="IB35" s="178"/>
      <c r="IC35" s="178"/>
      <c r="ID35" s="178"/>
      <c r="IE35" s="178"/>
      <c r="IF35" s="178"/>
      <c r="IG35" s="178"/>
      <c r="IH35" s="178"/>
      <c r="II35" s="178"/>
      <c r="IJ35" s="178"/>
      <c r="IK35" s="178"/>
      <c r="IL35" s="178"/>
      <c r="IM35" s="178"/>
      <c r="IN35" s="178"/>
      <c r="IO35" s="178"/>
      <c r="IP35" s="178"/>
      <c r="IQ35" s="178"/>
      <c r="IR35" s="178"/>
      <c r="IS35" s="178"/>
      <c r="IT35" s="178"/>
    </row>
    <row r="36" spans="1:254" s="173" customFormat="1" ht="15.75" customHeight="1" x14ac:dyDescent="0.2">
      <c r="A36" s="407"/>
      <c r="B36" s="408"/>
      <c r="C36" s="330"/>
      <c r="D36" s="330"/>
      <c r="E36" s="330"/>
      <c r="F36" s="409"/>
      <c r="G36" s="410"/>
      <c r="K36" s="178"/>
      <c r="L36" s="178"/>
      <c r="M36" s="178"/>
      <c r="N36" s="178"/>
      <c r="O36" s="178"/>
      <c r="P36" s="178"/>
      <c r="Q36" s="178"/>
      <c r="R36" s="178"/>
      <c r="S36" s="178"/>
      <c r="T36" s="178"/>
      <c r="U36" s="178"/>
      <c r="V36" s="178"/>
      <c r="W36" s="178"/>
      <c r="X36" s="178"/>
      <c r="Y36" s="178"/>
      <c r="Z36" s="178"/>
      <c r="AA36" s="178"/>
      <c r="AB36" s="178"/>
      <c r="AC36" s="178"/>
      <c r="AD36" s="178"/>
      <c r="AE36" s="178"/>
      <c r="AF36" s="178"/>
      <c r="AG36" s="178"/>
      <c r="AH36" s="178"/>
      <c r="AI36" s="178"/>
      <c r="AJ36" s="178"/>
      <c r="AK36" s="178"/>
      <c r="AL36" s="178"/>
      <c r="AM36" s="178"/>
      <c r="AN36" s="178"/>
      <c r="AO36" s="178"/>
      <c r="AP36" s="178"/>
      <c r="AQ36" s="178"/>
      <c r="AR36" s="178"/>
      <c r="AS36" s="178"/>
      <c r="AT36" s="178"/>
      <c r="AU36" s="178"/>
      <c r="AV36" s="178"/>
      <c r="AW36" s="178"/>
      <c r="AX36" s="178"/>
      <c r="AY36" s="178"/>
      <c r="AZ36" s="178"/>
      <c r="BA36" s="178"/>
      <c r="BB36" s="178"/>
      <c r="BC36" s="178"/>
      <c r="BD36" s="178"/>
      <c r="BE36" s="178"/>
      <c r="BF36" s="178"/>
      <c r="BG36" s="178"/>
      <c r="BH36" s="178"/>
      <c r="BI36" s="178"/>
      <c r="BJ36" s="178"/>
      <c r="BK36" s="178"/>
      <c r="BL36" s="178"/>
      <c r="BM36" s="178"/>
      <c r="BN36" s="178"/>
      <c r="BO36" s="178"/>
      <c r="BP36" s="178"/>
      <c r="BQ36" s="178"/>
      <c r="BR36" s="178"/>
      <c r="BS36" s="178"/>
      <c r="BT36" s="178"/>
      <c r="BU36" s="178"/>
      <c r="BV36" s="178"/>
      <c r="BW36" s="178"/>
      <c r="BX36" s="178"/>
      <c r="BY36" s="178"/>
      <c r="BZ36" s="178"/>
      <c r="CA36" s="178"/>
      <c r="CB36" s="178"/>
      <c r="CC36" s="178"/>
      <c r="CD36" s="178"/>
      <c r="CE36" s="178"/>
      <c r="CF36" s="178"/>
      <c r="CG36" s="178"/>
      <c r="CH36" s="178"/>
      <c r="CI36" s="178"/>
      <c r="CJ36" s="178"/>
      <c r="CK36" s="178"/>
      <c r="CL36" s="178"/>
      <c r="CM36" s="178"/>
      <c r="CN36" s="178"/>
      <c r="CO36" s="178"/>
      <c r="CP36" s="178"/>
      <c r="CQ36" s="178"/>
      <c r="CR36" s="178"/>
      <c r="CS36" s="178"/>
      <c r="CT36" s="178"/>
      <c r="CU36" s="178"/>
      <c r="CV36" s="178"/>
      <c r="CW36" s="178"/>
      <c r="CX36" s="178"/>
      <c r="CY36" s="178"/>
      <c r="CZ36" s="178"/>
      <c r="DA36" s="178"/>
      <c r="DB36" s="178"/>
      <c r="DC36" s="178"/>
      <c r="DD36" s="178"/>
      <c r="DE36" s="178"/>
      <c r="DF36" s="178"/>
      <c r="DG36" s="178"/>
      <c r="DH36" s="178"/>
      <c r="DI36" s="178"/>
      <c r="DJ36" s="178"/>
      <c r="DK36" s="178"/>
      <c r="DL36" s="178"/>
      <c r="DM36" s="178"/>
      <c r="DN36" s="178"/>
      <c r="DO36" s="178"/>
      <c r="DP36" s="178"/>
      <c r="DQ36" s="178"/>
      <c r="DR36" s="178"/>
      <c r="DS36" s="178"/>
      <c r="DT36" s="178"/>
      <c r="DU36" s="178"/>
      <c r="DV36" s="178"/>
      <c r="DW36" s="178"/>
      <c r="DX36" s="178"/>
      <c r="DY36" s="178"/>
      <c r="DZ36" s="178"/>
      <c r="EA36" s="178"/>
      <c r="EB36" s="178"/>
      <c r="EC36" s="178"/>
      <c r="ED36" s="178"/>
      <c r="EE36" s="178"/>
      <c r="EF36" s="178"/>
      <c r="EG36" s="178"/>
      <c r="EH36" s="178"/>
      <c r="EI36" s="178"/>
      <c r="EJ36" s="178"/>
      <c r="EK36" s="178"/>
      <c r="EL36" s="178"/>
      <c r="EM36" s="178"/>
      <c r="EN36" s="178"/>
      <c r="EO36" s="178"/>
      <c r="EP36" s="178"/>
      <c r="EQ36" s="178"/>
      <c r="ER36" s="178"/>
      <c r="ES36" s="178"/>
      <c r="ET36" s="178"/>
      <c r="EU36" s="178"/>
      <c r="EV36" s="178"/>
      <c r="EW36" s="178"/>
      <c r="EX36" s="178"/>
      <c r="EY36" s="178"/>
      <c r="EZ36" s="178"/>
      <c r="FA36" s="178"/>
      <c r="FB36" s="178"/>
      <c r="FC36" s="178"/>
      <c r="FD36" s="178"/>
      <c r="FE36" s="178"/>
      <c r="FF36" s="178"/>
      <c r="FG36" s="178"/>
      <c r="FH36" s="178"/>
      <c r="FI36" s="178"/>
      <c r="FJ36" s="178"/>
      <c r="FK36" s="178"/>
      <c r="FL36" s="178"/>
      <c r="FM36" s="178"/>
      <c r="FN36" s="178"/>
      <c r="FO36" s="178"/>
      <c r="FP36" s="178"/>
      <c r="FQ36" s="178"/>
      <c r="FR36" s="178"/>
      <c r="FS36" s="178"/>
      <c r="FT36" s="178"/>
      <c r="FU36" s="178"/>
      <c r="FV36" s="178"/>
      <c r="FW36" s="178"/>
      <c r="FX36" s="178"/>
      <c r="FY36" s="178"/>
      <c r="FZ36" s="178"/>
      <c r="GA36" s="178"/>
      <c r="GB36" s="178"/>
      <c r="GC36" s="178"/>
      <c r="GD36" s="178"/>
      <c r="GE36" s="178"/>
      <c r="GF36" s="178"/>
      <c r="GG36" s="178"/>
      <c r="GH36" s="178"/>
      <c r="GI36" s="178"/>
      <c r="GJ36" s="178"/>
      <c r="GK36" s="178"/>
      <c r="GL36" s="178"/>
      <c r="GM36" s="178"/>
      <c r="GN36" s="178"/>
      <c r="GO36" s="178"/>
      <c r="GP36" s="178"/>
      <c r="GQ36" s="178"/>
      <c r="GR36" s="178"/>
      <c r="GS36" s="178"/>
      <c r="GT36" s="178"/>
      <c r="GU36" s="178"/>
      <c r="GV36" s="178"/>
      <c r="GW36" s="178"/>
      <c r="GX36" s="178"/>
      <c r="GY36" s="178"/>
      <c r="GZ36" s="178"/>
      <c r="HA36" s="178"/>
      <c r="HB36" s="178"/>
      <c r="HC36" s="178"/>
      <c r="HD36" s="178"/>
      <c r="HE36" s="178"/>
      <c r="HF36" s="178"/>
      <c r="HG36" s="178"/>
      <c r="HH36" s="178"/>
      <c r="HI36" s="178"/>
      <c r="HJ36" s="178"/>
      <c r="HK36" s="178"/>
      <c r="HL36" s="178"/>
      <c r="HM36" s="178"/>
      <c r="HN36" s="178"/>
      <c r="HO36" s="178"/>
      <c r="HP36" s="178"/>
      <c r="HQ36" s="178"/>
      <c r="HR36" s="178"/>
      <c r="HS36" s="178"/>
      <c r="HT36" s="178"/>
      <c r="HU36" s="178"/>
      <c r="HV36" s="178"/>
      <c r="HW36" s="178"/>
      <c r="HX36" s="178"/>
      <c r="HY36" s="178"/>
      <c r="HZ36" s="178"/>
      <c r="IA36" s="178"/>
      <c r="IB36" s="178"/>
      <c r="IC36" s="178"/>
      <c r="ID36" s="178"/>
      <c r="IE36" s="178"/>
      <c r="IF36" s="178"/>
      <c r="IG36" s="178"/>
      <c r="IH36" s="178"/>
      <c r="II36" s="178"/>
      <c r="IJ36" s="178"/>
      <c r="IK36" s="178"/>
      <c r="IL36" s="178"/>
      <c r="IM36" s="178"/>
      <c r="IN36" s="178"/>
      <c r="IO36" s="178"/>
      <c r="IP36" s="178"/>
      <c r="IQ36" s="178"/>
      <c r="IR36" s="178"/>
      <c r="IS36" s="178"/>
      <c r="IT36" s="178"/>
    </row>
    <row r="37" spans="1:254" s="173" customFormat="1" ht="15" customHeight="1" x14ac:dyDescent="0.2">
      <c r="A37" s="89"/>
      <c r="B37" s="402" t="s">
        <v>42</v>
      </c>
      <c r="C37" s="403"/>
      <c r="D37" s="403"/>
      <c r="E37" s="404"/>
      <c r="F37" s="193"/>
      <c r="G37" s="111">
        <f>ROUND(G35,0)</f>
        <v>1057286</v>
      </c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  <c r="AF37" s="172"/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  <c r="AX37" s="172"/>
      <c r="AY37" s="172"/>
      <c r="AZ37" s="172"/>
      <c r="BA37" s="172"/>
      <c r="BB37" s="172"/>
      <c r="BC37" s="172"/>
      <c r="BD37" s="172"/>
      <c r="BE37" s="172"/>
      <c r="BF37" s="172"/>
      <c r="BG37" s="172"/>
      <c r="BH37" s="172"/>
      <c r="BI37" s="172"/>
      <c r="BJ37" s="172"/>
      <c r="BK37" s="172"/>
      <c r="BL37" s="172"/>
      <c r="BM37" s="172"/>
      <c r="BN37" s="172"/>
      <c r="BO37" s="172"/>
      <c r="BP37" s="172"/>
      <c r="BQ37" s="172"/>
      <c r="BR37" s="172"/>
      <c r="BS37" s="172"/>
      <c r="BT37" s="172"/>
      <c r="BU37" s="172"/>
      <c r="BV37" s="172"/>
      <c r="BW37" s="172"/>
      <c r="BX37" s="172"/>
      <c r="BY37" s="172"/>
      <c r="BZ37" s="172"/>
      <c r="CA37" s="172"/>
      <c r="CB37" s="172"/>
      <c r="CC37" s="172"/>
      <c r="CD37" s="172"/>
      <c r="CE37" s="172"/>
      <c r="CF37" s="172"/>
      <c r="CG37" s="172"/>
      <c r="CH37" s="172"/>
      <c r="CI37" s="172"/>
      <c r="CJ37" s="172"/>
      <c r="CK37" s="172"/>
      <c r="CL37" s="172"/>
      <c r="CM37" s="172"/>
      <c r="CN37" s="172"/>
      <c r="CO37" s="172"/>
      <c r="CP37" s="172"/>
      <c r="CQ37" s="172"/>
      <c r="CR37" s="172"/>
      <c r="CS37" s="172"/>
      <c r="CT37" s="172"/>
      <c r="CU37" s="172"/>
      <c r="CV37" s="172"/>
      <c r="CW37" s="172"/>
      <c r="CX37" s="172"/>
      <c r="CY37" s="172"/>
      <c r="CZ37" s="172"/>
      <c r="DA37" s="172"/>
      <c r="DB37" s="172"/>
      <c r="DC37" s="172"/>
      <c r="DD37" s="172"/>
      <c r="DE37" s="172"/>
      <c r="DF37" s="172"/>
      <c r="DG37" s="172"/>
      <c r="DH37" s="172"/>
      <c r="DI37" s="172"/>
      <c r="DJ37" s="172"/>
      <c r="DK37" s="172"/>
      <c r="DL37" s="172"/>
      <c r="DM37" s="172"/>
      <c r="DN37" s="172"/>
      <c r="DO37" s="172"/>
      <c r="DP37" s="172"/>
      <c r="DQ37" s="172"/>
      <c r="DR37" s="172"/>
      <c r="DS37" s="172"/>
      <c r="DT37" s="172"/>
      <c r="DU37" s="172"/>
      <c r="DV37" s="172"/>
      <c r="DW37" s="172"/>
      <c r="DX37" s="172"/>
      <c r="DY37" s="172"/>
      <c r="DZ37" s="172"/>
      <c r="EA37" s="172"/>
      <c r="EB37" s="172"/>
      <c r="EC37" s="172"/>
      <c r="ED37" s="172"/>
      <c r="EE37" s="172"/>
      <c r="EF37" s="172"/>
      <c r="EG37" s="172"/>
      <c r="EH37" s="172"/>
      <c r="EI37" s="172"/>
      <c r="EJ37" s="172"/>
      <c r="EK37" s="172"/>
      <c r="EL37" s="172"/>
      <c r="EM37" s="172"/>
      <c r="EN37" s="172"/>
      <c r="EO37" s="172"/>
      <c r="EP37" s="172"/>
      <c r="EQ37" s="172"/>
      <c r="ER37" s="172"/>
      <c r="ES37" s="172"/>
      <c r="ET37" s="172"/>
      <c r="EU37" s="172"/>
      <c r="EV37" s="172"/>
      <c r="EW37" s="172"/>
      <c r="EX37" s="172"/>
      <c r="EY37" s="172"/>
      <c r="EZ37" s="172"/>
      <c r="FA37" s="172"/>
      <c r="FB37" s="172"/>
      <c r="FC37" s="172"/>
      <c r="FD37" s="172"/>
      <c r="FE37" s="172"/>
      <c r="FF37" s="172"/>
      <c r="FG37" s="172"/>
      <c r="FH37" s="172"/>
      <c r="FI37" s="172"/>
      <c r="FJ37" s="172"/>
      <c r="FK37" s="172"/>
      <c r="FL37" s="172"/>
      <c r="FM37" s="172"/>
      <c r="FN37" s="172"/>
      <c r="FO37" s="172"/>
      <c r="FP37" s="172"/>
      <c r="FQ37" s="172"/>
      <c r="FR37" s="172"/>
      <c r="FS37" s="172"/>
      <c r="FT37" s="172"/>
      <c r="FU37" s="172"/>
      <c r="FV37" s="172"/>
      <c r="FW37" s="172"/>
      <c r="FX37" s="172"/>
      <c r="FY37" s="172"/>
      <c r="FZ37" s="172"/>
      <c r="GA37" s="172"/>
      <c r="GB37" s="172"/>
      <c r="GC37" s="172"/>
      <c r="GD37" s="172"/>
      <c r="GE37" s="172"/>
      <c r="GF37" s="172"/>
      <c r="GG37" s="172"/>
      <c r="GH37" s="172"/>
      <c r="GI37" s="172"/>
      <c r="GJ37" s="172"/>
      <c r="GK37" s="172"/>
      <c r="GL37" s="172"/>
      <c r="GM37" s="172"/>
      <c r="GN37" s="172"/>
      <c r="GO37" s="172"/>
      <c r="GP37" s="172"/>
      <c r="GQ37" s="172"/>
      <c r="GR37" s="172"/>
      <c r="GS37" s="172"/>
      <c r="GT37" s="172"/>
      <c r="GU37" s="172"/>
      <c r="GV37" s="172"/>
      <c r="GW37" s="172"/>
      <c r="GX37" s="172"/>
      <c r="GY37" s="172"/>
      <c r="GZ37" s="172"/>
      <c r="HA37" s="172"/>
      <c r="HB37" s="172"/>
      <c r="HC37" s="172"/>
      <c r="HD37" s="172"/>
      <c r="HE37" s="172"/>
      <c r="HF37" s="172"/>
      <c r="HG37" s="172"/>
      <c r="HH37" s="172"/>
      <c r="HI37" s="172"/>
      <c r="HJ37" s="172"/>
      <c r="HK37" s="172"/>
      <c r="HL37" s="172"/>
      <c r="HM37" s="172"/>
      <c r="HN37" s="172"/>
      <c r="HO37" s="172"/>
      <c r="HP37" s="172"/>
      <c r="HQ37" s="172"/>
      <c r="HR37" s="172"/>
      <c r="HS37" s="172"/>
      <c r="HT37" s="172"/>
      <c r="HU37" s="172"/>
      <c r="HV37" s="172"/>
      <c r="HW37" s="172"/>
      <c r="HX37" s="172"/>
      <c r="HY37" s="172"/>
      <c r="HZ37" s="172"/>
      <c r="IA37" s="172"/>
      <c r="IB37" s="172"/>
      <c r="IC37" s="172"/>
      <c r="ID37" s="172"/>
      <c r="IE37" s="172"/>
      <c r="IF37" s="172"/>
      <c r="IG37" s="172"/>
      <c r="IH37" s="172"/>
      <c r="II37" s="172"/>
      <c r="IJ37" s="172"/>
      <c r="IK37" s="172"/>
      <c r="IL37" s="172"/>
      <c r="IM37" s="172"/>
      <c r="IN37" s="172"/>
      <c r="IO37" s="172"/>
      <c r="IP37" s="172"/>
      <c r="IQ37" s="172"/>
      <c r="IR37" s="172"/>
      <c r="IS37" s="172"/>
    </row>
    <row r="38" spans="1:254" s="173" customFormat="1" x14ac:dyDescent="0.2">
      <c r="A38" s="179" t="s">
        <v>315</v>
      </c>
      <c r="B38" s="180"/>
      <c r="C38" s="86" t="s">
        <v>315</v>
      </c>
      <c r="D38" s="86" t="s">
        <v>315</v>
      </c>
      <c r="E38" s="86"/>
      <c r="F38" s="86"/>
      <c r="G38" s="181" t="s">
        <v>315</v>
      </c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  <c r="BA38" s="172"/>
      <c r="BB38" s="172"/>
      <c r="BC38" s="172"/>
      <c r="BD38" s="172"/>
      <c r="BE38" s="172"/>
      <c r="BF38" s="172"/>
      <c r="BG38" s="172"/>
      <c r="BH38" s="172"/>
      <c r="BI38" s="172"/>
      <c r="BJ38" s="172"/>
      <c r="BK38" s="172"/>
      <c r="BL38" s="172"/>
      <c r="BM38" s="172"/>
      <c r="BN38" s="172"/>
      <c r="BO38" s="172"/>
      <c r="BP38" s="172"/>
      <c r="BQ38" s="172"/>
      <c r="BR38" s="172"/>
      <c r="BS38" s="172"/>
      <c r="BT38" s="172"/>
      <c r="BU38" s="172"/>
      <c r="BV38" s="172"/>
      <c r="BW38" s="172"/>
      <c r="BX38" s="172"/>
      <c r="BY38" s="172"/>
      <c r="BZ38" s="172"/>
      <c r="CA38" s="172"/>
      <c r="CB38" s="172"/>
      <c r="CC38" s="172"/>
      <c r="CD38" s="172"/>
      <c r="CE38" s="172"/>
      <c r="CF38" s="172"/>
      <c r="CG38" s="172"/>
      <c r="CH38" s="172"/>
      <c r="CI38" s="172"/>
      <c r="CJ38" s="172"/>
      <c r="CK38" s="172"/>
      <c r="CL38" s="172"/>
      <c r="CM38" s="172"/>
      <c r="CN38" s="172"/>
      <c r="CO38" s="172"/>
      <c r="CP38" s="172"/>
      <c r="CQ38" s="172"/>
      <c r="CR38" s="172"/>
      <c r="CS38" s="172"/>
      <c r="CT38" s="172"/>
      <c r="CU38" s="172"/>
      <c r="CV38" s="172"/>
      <c r="CW38" s="172"/>
      <c r="CX38" s="172"/>
      <c r="CY38" s="172"/>
      <c r="CZ38" s="172"/>
      <c r="DA38" s="172"/>
      <c r="DB38" s="172"/>
      <c r="DC38" s="172"/>
      <c r="DD38" s="172"/>
      <c r="DE38" s="172"/>
      <c r="DF38" s="172"/>
      <c r="DG38" s="172"/>
      <c r="DH38" s="172"/>
      <c r="DI38" s="172"/>
      <c r="DJ38" s="172"/>
      <c r="DK38" s="172"/>
      <c r="DL38" s="172"/>
      <c r="DM38" s="172"/>
      <c r="DN38" s="172"/>
      <c r="DO38" s="172"/>
      <c r="DP38" s="172"/>
      <c r="DQ38" s="172"/>
      <c r="DR38" s="172"/>
      <c r="DS38" s="172"/>
      <c r="DT38" s="172"/>
      <c r="DU38" s="172"/>
      <c r="DV38" s="172"/>
      <c r="DW38" s="172"/>
      <c r="DX38" s="172"/>
      <c r="DY38" s="172"/>
      <c r="DZ38" s="172"/>
      <c r="EA38" s="172"/>
      <c r="EB38" s="172"/>
      <c r="EC38" s="172"/>
      <c r="ED38" s="172"/>
      <c r="EE38" s="172"/>
      <c r="EF38" s="172"/>
      <c r="EG38" s="172"/>
      <c r="EH38" s="172"/>
      <c r="EI38" s="172"/>
      <c r="EJ38" s="172"/>
      <c r="EK38" s="172"/>
      <c r="EL38" s="172"/>
      <c r="EM38" s="172"/>
      <c r="EN38" s="172"/>
      <c r="EO38" s="172"/>
      <c r="EP38" s="172"/>
      <c r="EQ38" s="172"/>
      <c r="ER38" s="172"/>
      <c r="ES38" s="172"/>
      <c r="ET38" s="172"/>
      <c r="EU38" s="172"/>
      <c r="EV38" s="172"/>
      <c r="EW38" s="172"/>
      <c r="EX38" s="172"/>
      <c r="EY38" s="172"/>
      <c r="EZ38" s="172"/>
      <c r="FA38" s="172"/>
      <c r="FB38" s="172"/>
      <c r="FC38" s="172"/>
      <c r="FD38" s="172"/>
      <c r="FE38" s="172"/>
      <c r="FF38" s="172"/>
      <c r="FG38" s="172"/>
      <c r="FH38" s="172"/>
      <c r="FI38" s="172"/>
      <c r="FJ38" s="172"/>
      <c r="FK38" s="172"/>
      <c r="FL38" s="172"/>
      <c r="FM38" s="172"/>
      <c r="FN38" s="172"/>
      <c r="FO38" s="172"/>
      <c r="FP38" s="172"/>
      <c r="FQ38" s="172"/>
      <c r="FR38" s="172"/>
      <c r="FS38" s="172"/>
      <c r="FT38" s="172"/>
      <c r="FU38" s="172"/>
      <c r="FV38" s="172"/>
      <c r="FW38" s="172"/>
      <c r="FX38" s="172"/>
      <c r="FY38" s="172"/>
      <c r="FZ38" s="172"/>
      <c r="GA38" s="172"/>
      <c r="GB38" s="172"/>
      <c r="GC38" s="172"/>
      <c r="GD38" s="172"/>
      <c r="GE38" s="172"/>
      <c r="GF38" s="172"/>
      <c r="GG38" s="172"/>
      <c r="GH38" s="172"/>
      <c r="GI38" s="172"/>
      <c r="GJ38" s="172"/>
      <c r="GK38" s="172"/>
      <c r="GL38" s="172"/>
      <c r="GM38" s="172"/>
      <c r="GN38" s="172"/>
      <c r="GO38" s="172"/>
      <c r="GP38" s="172"/>
      <c r="GQ38" s="172"/>
      <c r="GR38" s="172"/>
      <c r="GS38" s="172"/>
      <c r="GT38" s="172"/>
      <c r="GU38" s="172"/>
      <c r="GV38" s="172"/>
      <c r="GW38" s="172"/>
      <c r="GX38" s="172"/>
      <c r="GY38" s="172"/>
      <c r="GZ38" s="172"/>
      <c r="HA38" s="172"/>
      <c r="HB38" s="172"/>
      <c r="HC38" s="172"/>
      <c r="HD38" s="172"/>
      <c r="HE38" s="172"/>
      <c r="HF38" s="172"/>
      <c r="HG38" s="172"/>
      <c r="HH38" s="172"/>
      <c r="HI38" s="172"/>
      <c r="HJ38" s="172"/>
      <c r="HK38" s="172"/>
      <c r="HL38" s="172"/>
      <c r="HM38" s="172"/>
      <c r="HN38" s="172"/>
      <c r="HO38" s="172"/>
      <c r="HP38" s="172"/>
      <c r="HQ38" s="172"/>
      <c r="HR38" s="172"/>
      <c r="HS38" s="172"/>
      <c r="HT38" s="172"/>
      <c r="HU38" s="172"/>
      <c r="HV38" s="172"/>
      <c r="HW38" s="172"/>
      <c r="HX38" s="172"/>
      <c r="HY38" s="172"/>
      <c r="HZ38" s="172"/>
      <c r="IA38" s="172"/>
      <c r="IB38" s="172"/>
      <c r="IC38" s="172"/>
      <c r="ID38" s="172"/>
      <c r="IE38" s="172"/>
      <c r="IF38" s="172"/>
      <c r="IG38" s="172"/>
      <c r="IH38" s="172"/>
      <c r="II38" s="172"/>
      <c r="IJ38" s="172"/>
      <c r="IK38" s="172"/>
      <c r="IL38" s="172"/>
      <c r="IM38" s="172"/>
      <c r="IN38" s="172"/>
      <c r="IO38" s="172"/>
      <c r="IP38" s="172"/>
      <c r="IQ38" s="172"/>
      <c r="IR38" s="172"/>
      <c r="IS38" s="172"/>
    </row>
    <row r="39" spans="1:254" s="173" customFormat="1" x14ac:dyDescent="0.2">
      <c r="A39" s="179"/>
      <c r="B39" s="180"/>
      <c r="C39" s="86"/>
      <c r="D39" s="86"/>
      <c r="E39" s="86"/>
      <c r="F39" s="86"/>
      <c r="G39" s="181"/>
      <c r="J39" s="172"/>
      <c r="K39" s="172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  <c r="AF39" s="172"/>
      <c r="AG39" s="172"/>
      <c r="AH39" s="172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72"/>
      <c r="AT39" s="172"/>
      <c r="AU39" s="172"/>
      <c r="AV39" s="172"/>
      <c r="AW39" s="172"/>
      <c r="AX39" s="172"/>
      <c r="AY39" s="172"/>
      <c r="AZ39" s="172"/>
      <c r="BA39" s="172"/>
      <c r="BB39" s="172"/>
      <c r="BC39" s="172"/>
      <c r="BD39" s="172"/>
      <c r="BE39" s="172"/>
      <c r="BF39" s="172"/>
      <c r="BG39" s="172"/>
      <c r="BH39" s="172"/>
      <c r="BI39" s="172"/>
      <c r="BJ39" s="172"/>
      <c r="BK39" s="172"/>
      <c r="BL39" s="172"/>
      <c r="BM39" s="172"/>
      <c r="BN39" s="172"/>
      <c r="BO39" s="172"/>
      <c r="BP39" s="172"/>
      <c r="BQ39" s="172"/>
      <c r="BR39" s="172"/>
      <c r="BS39" s="172"/>
      <c r="BT39" s="172"/>
      <c r="BU39" s="172"/>
      <c r="BV39" s="172"/>
      <c r="BW39" s="172"/>
      <c r="BX39" s="172"/>
      <c r="BY39" s="172"/>
      <c r="BZ39" s="172"/>
      <c r="CA39" s="172"/>
      <c r="CB39" s="172"/>
      <c r="CC39" s="172"/>
      <c r="CD39" s="172"/>
      <c r="CE39" s="172"/>
      <c r="CF39" s="172"/>
      <c r="CG39" s="172"/>
      <c r="CH39" s="172"/>
      <c r="CI39" s="172"/>
      <c r="CJ39" s="172"/>
      <c r="CK39" s="172"/>
      <c r="CL39" s="172"/>
      <c r="CM39" s="172"/>
      <c r="CN39" s="172"/>
      <c r="CO39" s="172"/>
      <c r="CP39" s="172"/>
      <c r="CQ39" s="172"/>
      <c r="CR39" s="172"/>
      <c r="CS39" s="172"/>
      <c r="CT39" s="172"/>
      <c r="CU39" s="172"/>
      <c r="CV39" s="172"/>
      <c r="CW39" s="172"/>
      <c r="CX39" s="172"/>
      <c r="CY39" s="172"/>
      <c r="CZ39" s="172"/>
      <c r="DA39" s="172"/>
      <c r="DB39" s="172"/>
      <c r="DC39" s="172"/>
      <c r="DD39" s="172"/>
      <c r="DE39" s="172"/>
      <c r="DF39" s="172"/>
      <c r="DG39" s="172"/>
      <c r="DH39" s="172"/>
      <c r="DI39" s="172"/>
      <c r="DJ39" s="172"/>
      <c r="DK39" s="172"/>
      <c r="DL39" s="172"/>
      <c r="DM39" s="172"/>
      <c r="DN39" s="172"/>
      <c r="DO39" s="172"/>
      <c r="DP39" s="172"/>
      <c r="DQ39" s="172"/>
      <c r="DR39" s="172"/>
      <c r="DS39" s="172"/>
      <c r="DT39" s="172"/>
      <c r="DU39" s="172"/>
      <c r="DV39" s="172"/>
      <c r="DW39" s="172"/>
      <c r="DX39" s="172"/>
      <c r="DY39" s="172"/>
      <c r="DZ39" s="172"/>
      <c r="EA39" s="172"/>
      <c r="EB39" s="172"/>
      <c r="EC39" s="172"/>
      <c r="ED39" s="172"/>
      <c r="EE39" s="172"/>
      <c r="EF39" s="172"/>
      <c r="EG39" s="172"/>
      <c r="EH39" s="172"/>
      <c r="EI39" s="172"/>
      <c r="EJ39" s="172"/>
      <c r="EK39" s="172"/>
      <c r="EL39" s="172"/>
      <c r="EM39" s="172"/>
      <c r="EN39" s="172"/>
      <c r="EO39" s="172"/>
      <c r="EP39" s="172"/>
      <c r="EQ39" s="172"/>
      <c r="ER39" s="172"/>
      <c r="ES39" s="172"/>
      <c r="ET39" s="172"/>
      <c r="EU39" s="172"/>
      <c r="EV39" s="172"/>
      <c r="EW39" s="172"/>
      <c r="EX39" s="172"/>
      <c r="EY39" s="172"/>
      <c r="EZ39" s="172"/>
      <c r="FA39" s="172"/>
      <c r="FB39" s="172"/>
      <c r="FC39" s="172"/>
      <c r="FD39" s="172"/>
      <c r="FE39" s="172"/>
      <c r="FF39" s="172"/>
      <c r="FG39" s="172"/>
      <c r="FH39" s="172"/>
      <c r="FI39" s="172"/>
      <c r="FJ39" s="172"/>
      <c r="FK39" s="172"/>
      <c r="FL39" s="172"/>
      <c r="FM39" s="172"/>
      <c r="FN39" s="172"/>
      <c r="FO39" s="172"/>
      <c r="FP39" s="172"/>
      <c r="FQ39" s="172"/>
      <c r="FR39" s="172"/>
      <c r="FS39" s="172"/>
      <c r="FT39" s="172"/>
      <c r="FU39" s="172"/>
      <c r="FV39" s="172"/>
      <c r="FW39" s="172"/>
      <c r="FX39" s="172"/>
      <c r="FY39" s="172"/>
      <c r="FZ39" s="172"/>
      <c r="GA39" s="172"/>
      <c r="GB39" s="172"/>
      <c r="GC39" s="172"/>
      <c r="GD39" s="172"/>
      <c r="GE39" s="172"/>
      <c r="GF39" s="172"/>
      <c r="GG39" s="172"/>
      <c r="GH39" s="172"/>
      <c r="GI39" s="172"/>
      <c r="GJ39" s="172"/>
      <c r="GK39" s="172"/>
      <c r="GL39" s="172"/>
      <c r="GM39" s="172"/>
      <c r="GN39" s="172"/>
      <c r="GO39" s="172"/>
      <c r="GP39" s="172"/>
      <c r="GQ39" s="172"/>
      <c r="GR39" s="172"/>
      <c r="GS39" s="172"/>
      <c r="GT39" s="172"/>
      <c r="GU39" s="172"/>
      <c r="GV39" s="172"/>
      <c r="GW39" s="172"/>
      <c r="GX39" s="172"/>
      <c r="GY39" s="172"/>
      <c r="GZ39" s="172"/>
      <c r="HA39" s="172"/>
      <c r="HB39" s="172"/>
      <c r="HC39" s="172"/>
      <c r="HD39" s="172"/>
      <c r="HE39" s="172"/>
      <c r="HF39" s="172"/>
      <c r="HG39" s="172"/>
      <c r="HH39" s="172"/>
      <c r="HI39" s="172"/>
      <c r="HJ39" s="172"/>
      <c r="HK39" s="172"/>
      <c r="HL39" s="172"/>
      <c r="HM39" s="172"/>
      <c r="HN39" s="172"/>
      <c r="HO39" s="172"/>
      <c r="HP39" s="172"/>
      <c r="HQ39" s="172"/>
      <c r="HR39" s="172"/>
      <c r="HS39" s="172"/>
      <c r="HT39" s="172"/>
      <c r="HU39" s="172"/>
      <c r="HV39" s="172"/>
      <c r="HW39" s="172"/>
      <c r="HX39" s="172"/>
      <c r="HY39" s="172"/>
      <c r="HZ39" s="172"/>
      <c r="IA39" s="172"/>
      <c r="IB39" s="172"/>
      <c r="IC39" s="172"/>
      <c r="ID39" s="172"/>
      <c r="IE39" s="172"/>
      <c r="IF39" s="172"/>
      <c r="IG39" s="172"/>
      <c r="IH39" s="172"/>
      <c r="II39" s="172"/>
      <c r="IJ39" s="172"/>
      <c r="IK39" s="172"/>
      <c r="IL39" s="172"/>
      <c r="IM39" s="172"/>
      <c r="IN39" s="172"/>
      <c r="IO39" s="172"/>
      <c r="IP39" s="172"/>
      <c r="IQ39" s="172"/>
      <c r="IR39" s="172"/>
      <c r="IS39" s="172"/>
    </row>
    <row r="40" spans="1:254" s="173" customFormat="1" x14ac:dyDescent="0.2">
      <c r="A40" s="179"/>
      <c r="B40" s="180"/>
      <c r="C40" s="86"/>
      <c r="D40" s="86"/>
      <c r="E40" s="86"/>
      <c r="F40" s="86"/>
      <c r="G40" s="181"/>
      <c r="J40" s="172"/>
      <c r="K40" s="172"/>
      <c r="L40" s="172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  <c r="AX40" s="172"/>
      <c r="AY40" s="172"/>
      <c r="AZ40" s="172"/>
      <c r="BA40" s="172"/>
      <c r="BB40" s="172"/>
      <c r="BC40" s="172"/>
      <c r="BD40" s="172"/>
      <c r="BE40" s="172"/>
      <c r="BF40" s="172"/>
      <c r="BG40" s="172"/>
      <c r="BH40" s="172"/>
      <c r="BI40" s="172"/>
      <c r="BJ40" s="172"/>
      <c r="BK40" s="172"/>
      <c r="BL40" s="172"/>
      <c r="BM40" s="172"/>
      <c r="BN40" s="172"/>
      <c r="BO40" s="172"/>
      <c r="BP40" s="172"/>
      <c r="BQ40" s="172"/>
      <c r="BR40" s="172"/>
      <c r="BS40" s="172"/>
      <c r="BT40" s="172"/>
      <c r="BU40" s="172"/>
      <c r="BV40" s="172"/>
      <c r="BW40" s="172"/>
      <c r="BX40" s="172"/>
      <c r="BY40" s="172"/>
      <c r="BZ40" s="172"/>
      <c r="CA40" s="172"/>
      <c r="CB40" s="172"/>
      <c r="CC40" s="172"/>
      <c r="CD40" s="172"/>
      <c r="CE40" s="172"/>
      <c r="CF40" s="172"/>
      <c r="CG40" s="172"/>
      <c r="CH40" s="172"/>
      <c r="CI40" s="172"/>
      <c r="CJ40" s="172"/>
      <c r="CK40" s="172"/>
      <c r="CL40" s="172"/>
      <c r="CM40" s="172"/>
      <c r="CN40" s="172"/>
      <c r="CO40" s="172"/>
      <c r="CP40" s="172"/>
      <c r="CQ40" s="172"/>
      <c r="CR40" s="172"/>
      <c r="CS40" s="172"/>
      <c r="CT40" s="172"/>
      <c r="CU40" s="172"/>
      <c r="CV40" s="172"/>
      <c r="CW40" s="172"/>
      <c r="CX40" s="172"/>
      <c r="CY40" s="172"/>
      <c r="CZ40" s="172"/>
      <c r="DA40" s="172"/>
      <c r="DB40" s="172"/>
      <c r="DC40" s="172"/>
      <c r="DD40" s="172"/>
      <c r="DE40" s="172"/>
      <c r="DF40" s="172"/>
      <c r="DG40" s="172"/>
      <c r="DH40" s="172"/>
      <c r="DI40" s="172"/>
      <c r="DJ40" s="172"/>
      <c r="DK40" s="172"/>
      <c r="DL40" s="172"/>
      <c r="DM40" s="172"/>
      <c r="DN40" s="172"/>
      <c r="DO40" s="172"/>
      <c r="DP40" s="172"/>
      <c r="DQ40" s="172"/>
      <c r="DR40" s="172"/>
      <c r="DS40" s="172"/>
      <c r="DT40" s="172"/>
      <c r="DU40" s="172"/>
      <c r="DV40" s="172"/>
      <c r="DW40" s="172"/>
      <c r="DX40" s="172"/>
      <c r="DY40" s="172"/>
      <c r="DZ40" s="172"/>
      <c r="EA40" s="172"/>
      <c r="EB40" s="172"/>
      <c r="EC40" s="172"/>
      <c r="ED40" s="172"/>
      <c r="EE40" s="172"/>
      <c r="EF40" s="172"/>
      <c r="EG40" s="172"/>
      <c r="EH40" s="172"/>
      <c r="EI40" s="172"/>
      <c r="EJ40" s="172"/>
      <c r="EK40" s="172"/>
      <c r="EL40" s="172"/>
      <c r="EM40" s="172"/>
      <c r="EN40" s="172"/>
      <c r="EO40" s="172"/>
      <c r="EP40" s="172"/>
      <c r="EQ40" s="172"/>
      <c r="ER40" s="172"/>
      <c r="ES40" s="172"/>
      <c r="ET40" s="172"/>
      <c r="EU40" s="172"/>
      <c r="EV40" s="172"/>
      <c r="EW40" s="172"/>
      <c r="EX40" s="172"/>
      <c r="EY40" s="172"/>
      <c r="EZ40" s="172"/>
      <c r="FA40" s="172"/>
      <c r="FB40" s="172"/>
      <c r="FC40" s="172"/>
      <c r="FD40" s="172"/>
      <c r="FE40" s="172"/>
      <c r="FF40" s="172"/>
      <c r="FG40" s="172"/>
      <c r="FH40" s="172"/>
      <c r="FI40" s="172"/>
      <c r="FJ40" s="172"/>
      <c r="FK40" s="172"/>
      <c r="FL40" s="172"/>
      <c r="FM40" s="172"/>
      <c r="FN40" s="172"/>
      <c r="FO40" s="172"/>
      <c r="FP40" s="172"/>
      <c r="FQ40" s="172"/>
      <c r="FR40" s="172"/>
      <c r="FS40" s="172"/>
      <c r="FT40" s="172"/>
      <c r="FU40" s="172"/>
      <c r="FV40" s="172"/>
      <c r="FW40" s="172"/>
      <c r="FX40" s="172"/>
      <c r="FY40" s="172"/>
      <c r="FZ40" s="172"/>
      <c r="GA40" s="172"/>
      <c r="GB40" s="172"/>
      <c r="GC40" s="172"/>
      <c r="GD40" s="172"/>
      <c r="GE40" s="172"/>
      <c r="GF40" s="172"/>
      <c r="GG40" s="172"/>
      <c r="GH40" s="172"/>
      <c r="GI40" s="172"/>
      <c r="GJ40" s="172"/>
      <c r="GK40" s="172"/>
      <c r="GL40" s="172"/>
      <c r="GM40" s="172"/>
      <c r="GN40" s="172"/>
      <c r="GO40" s="172"/>
      <c r="GP40" s="172"/>
      <c r="GQ40" s="172"/>
      <c r="GR40" s="172"/>
      <c r="GS40" s="172"/>
      <c r="GT40" s="172"/>
      <c r="GU40" s="172"/>
      <c r="GV40" s="172"/>
      <c r="GW40" s="172"/>
      <c r="GX40" s="172"/>
      <c r="GY40" s="172"/>
      <c r="GZ40" s="172"/>
      <c r="HA40" s="172"/>
      <c r="HB40" s="172"/>
      <c r="HC40" s="172"/>
      <c r="HD40" s="172"/>
      <c r="HE40" s="172"/>
      <c r="HF40" s="172"/>
      <c r="HG40" s="172"/>
      <c r="HH40" s="172"/>
      <c r="HI40" s="172"/>
      <c r="HJ40" s="172"/>
      <c r="HK40" s="172"/>
      <c r="HL40" s="172"/>
      <c r="HM40" s="172"/>
      <c r="HN40" s="172"/>
      <c r="HO40" s="172"/>
      <c r="HP40" s="172"/>
      <c r="HQ40" s="172"/>
      <c r="HR40" s="172"/>
      <c r="HS40" s="172"/>
      <c r="HT40" s="172"/>
      <c r="HU40" s="172"/>
      <c r="HV40" s="172"/>
      <c r="HW40" s="172"/>
      <c r="HX40" s="172"/>
      <c r="HY40" s="172"/>
      <c r="HZ40" s="172"/>
      <c r="IA40" s="172"/>
      <c r="IB40" s="172"/>
      <c r="IC40" s="172"/>
      <c r="ID40" s="172"/>
      <c r="IE40" s="172"/>
      <c r="IF40" s="172"/>
      <c r="IG40" s="172"/>
      <c r="IH40" s="172"/>
      <c r="II40" s="172"/>
      <c r="IJ40" s="172"/>
      <c r="IK40" s="172"/>
      <c r="IL40" s="172"/>
      <c r="IM40" s="172"/>
      <c r="IN40" s="172"/>
      <c r="IO40" s="172"/>
      <c r="IP40" s="172"/>
      <c r="IQ40" s="172"/>
      <c r="IR40" s="172"/>
      <c r="IS40" s="172"/>
    </row>
    <row r="41" spans="1:254" s="173" customFormat="1" x14ac:dyDescent="0.2">
      <c r="A41" s="86"/>
      <c r="B41" s="182"/>
      <c r="C41" s="86"/>
      <c r="D41" s="86"/>
      <c r="E41" s="86"/>
      <c r="F41" s="86"/>
      <c r="G41" s="181"/>
      <c r="J41" s="172"/>
      <c r="K41" s="172"/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72"/>
      <c r="AG41" s="172"/>
      <c r="AH41" s="172"/>
      <c r="AI41" s="172"/>
      <c r="AJ41" s="172"/>
      <c r="AK41" s="172"/>
      <c r="AL41" s="172"/>
      <c r="AM41" s="172"/>
      <c r="AN41" s="172"/>
      <c r="AO41" s="172"/>
      <c r="AP41" s="172"/>
      <c r="AQ41" s="172"/>
      <c r="AR41" s="172"/>
      <c r="AS41" s="172"/>
      <c r="AT41" s="172"/>
      <c r="AU41" s="172"/>
      <c r="AV41" s="172"/>
      <c r="AW41" s="172"/>
      <c r="AX41" s="172"/>
      <c r="AY41" s="172"/>
      <c r="AZ41" s="172"/>
      <c r="BA41" s="172"/>
      <c r="BB41" s="172"/>
      <c r="BC41" s="172"/>
      <c r="BD41" s="172"/>
      <c r="BE41" s="172"/>
      <c r="BF41" s="172"/>
      <c r="BG41" s="172"/>
      <c r="BH41" s="172"/>
      <c r="BI41" s="172"/>
      <c r="BJ41" s="172"/>
      <c r="BK41" s="172"/>
      <c r="BL41" s="172"/>
      <c r="BM41" s="172"/>
      <c r="BN41" s="172"/>
      <c r="BO41" s="172"/>
      <c r="BP41" s="172"/>
      <c r="BQ41" s="172"/>
      <c r="BR41" s="172"/>
      <c r="BS41" s="172"/>
      <c r="BT41" s="172"/>
      <c r="BU41" s="172"/>
      <c r="BV41" s="172"/>
      <c r="BW41" s="172"/>
      <c r="BX41" s="172"/>
      <c r="BY41" s="172"/>
      <c r="BZ41" s="172"/>
      <c r="CA41" s="172"/>
      <c r="CB41" s="172"/>
      <c r="CC41" s="172"/>
      <c r="CD41" s="172"/>
      <c r="CE41" s="172"/>
      <c r="CF41" s="172"/>
      <c r="CG41" s="172"/>
      <c r="CH41" s="172"/>
      <c r="CI41" s="172"/>
      <c r="CJ41" s="172"/>
      <c r="CK41" s="172"/>
      <c r="CL41" s="172"/>
      <c r="CM41" s="172"/>
      <c r="CN41" s="172"/>
      <c r="CO41" s="172"/>
      <c r="CP41" s="172"/>
      <c r="CQ41" s="172"/>
      <c r="CR41" s="172"/>
      <c r="CS41" s="172"/>
      <c r="CT41" s="172"/>
      <c r="CU41" s="172"/>
      <c r="CV41" s="172"/>
      <c r="CW41" s="172"/>
      <c r="CX41" s="172"/>
      <c r="CY41" s="172"/>
      <c r="CZ41" s="172"/>
      <c r="DA41" s="172"/>
      <c r="DB41" s="172"/>
      <c r="DC41" s="172"/>
      <c r="DD41" s="172"/>
      <c r="DE41" s="172"/>
      <c r="DF41" s="172"/>
      <c r="DG41" s="172"/>
      <c r="DH41" s="172"/>
      <c r="DI41" s="172"/>
      <c r="DJ41" s="172"/>
      <c r="DK41" s="172"/>
      <c r="DL41" s="172"/>
      <c r="DM41" s="172"/>
      <c r="DN41" s="172"/>
      <c r="DO41" s="172"/>
      <c r="DP41" s="172"/>
      <c r="DQ41" s="172"/>
      <c r="DR41" s="172"/>
      <c r="DS41" s="172"/>
      <c r="DT41" s="172"/>
      <c r="DU41" s="172"/>
      <c r="DV41" s="172"/>
      <c r="DW41" s="172"/>
      <c r="DX41" s="172"/>
      <c r="DY41" s="172"/>
      <c r="DZ41" s="172"/>
      <c r="EA41" s="172"/>
      <c r="EB41" s="172"/>
      <c r="EC41" s="172"/>
      <c r="ED41" s="172"/>
      <c r="EE41" s="172"/>
      <c r="EF41" s="172"/>
      <c r="EG41" s="172"/>
      <c r="EH41" s="172"/>
      <c r="EI41" s="172"/>
      <c r="EJ41" s="172"/>
      <c r="EK41" s="172"/>
      <c r="EL41" s="172"/>
      <c r="EM41" s="172"/>
      <c r="EN41" s="172"/>
      <c r="EO41" s="172"/>
      <c r="EP41" s="172"/>
      <c r="EQ41" s="172"/>
      <c r="ER41" s="172"/>
      <c r="ES41" s="172"/>
      <c r="ET41" s="172"/>
      <c r="EU41" s="172"/>
      <c r="EV41" s="172"/>
      <c r="EW41" s="172"/>
      <c r="EX41" s="172"/>
      <c r="EY41" s="172"/>
      <c r="EZ41" s="172"/>
      <c r="FA41" s="172"/>
      <c r="FB41" s="172"/>
      <c r="FC41" s="172"/>
      <c r="FD41" s="172"/>
      <c r="FE41" s="172"/>
      <c r="FF41" s="172"/>
      <c r="FG41" s="172"/>
      <c r="FH41" s="172"/>
      <c r="FI41" s="172"/>
      <c r="FJ41" s="172"/>
      <c r="FK41" s="172"/>
      <c r="FL41" s="172"/>
      <c r="FM41" s="172"/>
      <c r="FN41" s="172"/>
      <c r="FO41" s="172"/>
      <c r="FP41" s="172"/>
      <c r="FQ41" s="172"/>
      <c r="FR41" s="172"/>
      <c r="FS41" s="172"/>
      <c r="FT41" s="172"/>
      <c r="FU41" s="172"/>
      <c r="FV41" s="172"/>
      <c r="FW41" s="172"/>
      <c r="FX41" s="172"/>
      <c r="FY41" s="172"/>
      <c r="FZ41" s="172"/>
      <c r="GA41" s="172"/>
      <c r="GB41" s="172"/>
      <c r="GC41" s="172"/>
      <c r="GD41" s="172"/>
      <c r="GE41" s="172"/>
      <c r="GF41" s="172"/>
      <c r="GG41" s="172"/>
      <c r="GH41" s="172"/>
      <c r="GI41" s="172"/>
      <c r="GJ41" s="172"/>
      <c r="GK41" s="172"/>
      <c r="GL41" s="172"/>
      <c r="GM41" s="172"/>
      <c r="GN41" s="172"/>
      <c r="GO41" s="172"/>
      <c r="GP41" s="172"/>
      <c r="GQ41" s="172"/>
      <c r="GR41" s="172"/>
      <c r="GS41" s="172"/>
      <c r="GT41" s="172"/>
      <c r="GU41" s="172"/>
      <c r="GV41" s="172"/>
      <c r="GW41" s="172"/>
      <c r="GX41" s="172"/>
      <c r="GY41" s="172"/>
      <c r="GZ41" s="172"/>
      <c r="HA41" s="172"/>
      <c r="HB41" s="172"/>
      <c r="HC41" s="172"/>
      <c r="HD41" s="172"/>
      <c r="HE41" s="172"/>
      <c r="HF41" s="172"/>
      <c r="HG41" s="172"/>
      <c r="HH41" s="172"/>
      <c r="HI41" s="172"/>
      <c r="HJ41" s="172"/>
      <c r="HK41" s="172"/>
      <c r="HL41" s="172"/>
      <c r="HM41" s="172"/>
      <c r="HN41" s="172"/>
      <c r="HO41" s="172"/>
      <c r="HP41" s="172"/>
      <c r="HQ41" s="172"/>
      <c r="HR41" s="172"/>
      <c r="HS41" s="172"/>
      <c r="HT41" s="172"/>
      <c r="HU41" s="172"/>
      <c r="HV41" s="172"/>
      <c r="HW41" s="172"/>
      <c r="HX41" s="172"/>
      <c r="HY41" s="172"/>
      <c r="HZ41" s="172"/>
      <c r="IA41" s="172"/>
      <c r="IB41" s="172"/>
      <c r="IC41" s="172"/>
      <c r="ID41" s="172"/>
      <c r="IE41" s="172"/>
      <c r="IF41" s="172"/>
      <c r="IG41" s="172"/>
      <c r="IH41" s="172"/>
      <c r="II41" s="172"/>
      <c r="IJ41" s="172"/>
      <c r="IK41" s="172"/>
      <c r="IL41" s="172"/>
      <c r="IM41" s="172"/>
      <c r="IN41" s="172"/>
      <c r="IO41" s="172"/>
      <c r="IP41" s="172"/>
      <c r="IQ41" s="172"/>
      <c r="IR41" s="172"/>
      <c r="IS41" s="172"/>
    </row>
    <row r="42" spans="1:254" s="173" customFormat="1" x14ac:dyDescent="0.2">
      <c r="A42" s="405"/>
      <c r="B42" s="405"/>
      <c r="C42" s="406"/>
      <c r="D42" s="406"/>
      <c r="E42" s="406"/>
      <c r="F42" s="406"/>
      <c r="G42" s="406"/>
      <c r="J42" s="172"/>
      <c r="K42" s="172"/>
      <c r="L42" s="172"/>
      <c r="M42" s="17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  <c r="AF42" s="172"/>
      <c r="AG42" s="172"/>
      <c r="AH42" s="172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2"/>
      <c r="BC42" s="172"/>
      <c r="BD42" s="172"/>
      <c r="BE42" s="172"/>
      <c r="BF42" s="172"/>
      <c r="BG42" s="172"/>
      <c r="BH42" s="172"/>
      <c r="BI42" s="172"/>
      <c r="BJ42" s="172"/>
      <c r="BK42" s="172"/>
      <c r="BL42" s="172"/>
      <c r="BM42" s="172"/>
      <c r="BN42" s="172"/>
      <c r="BO42" s="172"/>
      <c r="BP42" s="172"/>
      <c r="BQ42" s="172"/>
      <c r="BR42" s="172"/>
      <c r="BS42" s="172"/>
      <c r="BT42" s="172"/>
      <c r="BU42" s="172"/>
      <c r="BV42" s="172"/>
      <c r="BW42" s="172"/>
      <c r="BX42" s="172"/>
      <c r="BY42" s="172"/>
      <c r="BZ42" s="172"/>
      <c r="CA42" s="172"/>
      <c r="CB42" s="172"/>
      <c r="CC42" s="172"/>
      <c r="CD42" s="172"/>
      <c r="CE42" s="172"/>
      <c r="CF42" s="172"/>
      <c r="CG42" s="172"/>
      <c r="CH42" s="172"/>
      <c r="CI42" s="172"/>
      <c r="CJ42" s="172"/>
      <c r="CK42" s="172"/>
      <c r="CL42" s="172"/>
      <c r="CM42" s="172"/>
      <c r="CN42" s="172"/>
      <c r="CO42" s="172"/>
      <c r="CP42" s="172"/>
      <c r="CQ42" s="172"/>
      <c r="CR42" s="172"/>
      <c r="CS42" s="172"/>
      <c r="CT42" s="172"/>
      <c r="CU42" s="172"/>
      <c r="CV42" s="172"/>
      <c r="CW42" s="172"/>
      <c r="CX42" s="172"/>
      <c r="CY42" s="172"/>
      <c r="CZ42" s="172"/>
      <c r="DA42" s="172"/>
      <c r="DB42" s="172"/>
      <c r="DC42" s="172"/>
      <c r="DD42" s="172"/>
      <c r="DE42" s="172"/>
      <c r="DF42" s="172"/>
      <c r="DG42" s="172"/>
      <c r="DH42" s="172"/>
      <c r="DI42" s="172"/>
      <c r="DJ42" s="172"/>
      <c r="DK42" s="172"/>
      <c r="DL42" s="172"/>
      <c r="DM42" s="172"/>
      <c r="DN42" s="172"/>
      <c r="DO42" s="172"/>
      <c r="DP42" s="172"/>
      <c r="DQ42" s="172"/>
      <c r="DR42" s="172"/>
      <c r="DS42" s="172"/>
      <c r="DT42" s="172"/>
      <c r="DU42" s="172"/>
      <c r="DV42" s="172"/>
      <c r="DW42" s="172"/>
      <c r="DX42" s="172"/>
      <c r="DY42" s="172"/>
      <c r="DZ42" s="172"/>
      <c r="EA42" s="172"/>
      <c r="EB42" s="172"/>
      <c r="EC42" s="172"/>
      <c r="ED42" s="172"/>
      <c r="EE42" s="172"/>
      <c r="EF42" s="172"/>
      <c r="EG42" s="172"/>
      <c r="EH42" s="172"/>
      <c r="EI42" s="172"/>
      <c r="EJ42" s="172"/>
      <c r="EK42" s="172"/>
      <c r="EL42" s="172"/>
      <c r="EM42" s="172"/>
      <c r="EN42" s="172"/>
      <c r="EO42" s="172"/>
      <c r="EP42" s="172"/>
      <c r="EQ42" s="172"/>
      <c r="ER42" s="172"/>
      <c r="ES42" s="172"/>
      <c r="ET42" s="172"/>
      <c r="EU42" s="172"/>
      <c r="EV42" s="172"/>
      <c r="EW42" s="172"/>
      <c r="EX42" s="172"/>
      <c r="EY42" s="172"/>
      <c r="EZ42" s="172"/>
      <c r="FA42" s="172"/>
      <c r="FB42" s="172"/>
      <c r="FC42" s="172"/>
      <c r="FD42" s="172"/>
      <c r="FE42" s="172"/>
      <c r="FF42" s="172"/>
      <c r="FG42" s="172"/>
      <c r="FH42" s="172"/>
      <c r="FI42" s="172"/>
      <c r="FJ42" s="172"/>
      <c r="FK42" s="172"/>
      <c r="FL42" s="172"/>
      <c r="FM42" s="172"/>
      <c r="FN42" s="172"/>
      <c r="FO42" s="172"/>
      <c r="FP42" s="172"/>
      <c r="FQ42" s="172"/>
      <c r="FR42" s="172"/>
      <c r="FS42" s="172"/>
      <c r="FT42" s="172"/>
      <c r="FU42" s="172"/>
      <c r="FV42" s="172"/>
      <c r="FW42" s="172"/>
      <c r="FX42" s="172"/>
      <c r="FY42" s="172"/>
      <c r="FZ42" s="172"/>
      <c r="GA42" s="172"/>
      <c r="GB42" s="172"/>
      <c r="GC42" s="172"/>
      <c r="GD42" s="172"/>
      <c r="GE42" s="172"/>
      <c r="GF42" s="172"/>
      <c r="GG42" s="172"/>
      <c r="GH42" s="172"/>
      <c r="GI42" s="172"/>
      <c r="GJ42" s="172"/>
      <c r="GK42" s="172"/>
      <c r="GL42" s="172"/>
      <c r="GM42" s="172"/>
      <c r="GN42" s="172"/>
      <c r="GO42" s="172"/>
      <c r="GP42" s="172"/>
      <c r="GQ42" s="172"/>
      <c r="GR42" s="172"/>
      <c r="GS42" s="172"/>
      <c r="GT42" s="172"/>
      <c r="GU42" s="172"/>
      <c r="GV42" s="172"/>
      <c r="GW42" s="172"/>
      <c r="GX42" s="172"/>
      <c r="GY42" s="172"/>
      <c r="GZ42" s="172"/>
      <c r="HA42" s="172"/>
      <c r="HB42" s="172"/>
      <c r="HC42" s="172"/>
      <c r="HD42" s="172"/>
      <c r="HE42" s="172"/>
      <c r="HF42" s="172"/>
      <c r="HG42" s="172"/>
      <c r="HH42" s="172"/>
      <c r="HI42" s="172"/>
      <c r="HJ42" s="172"/>
      <c r="HK42" s="172"/>
      <c r="HL42" s="172"/>
      <c r="HM42" s="172"/>
      <c r="HN42" s="172"/>
      <c r="HO42" s="172"/>
      <c r="HP42" s="172"/>
      <c r="HQ42" s="172"/>
      <c r="HR42" s="172"/>
      <c r="HS42" s="172"/>
      <c r="HT42" s="172"/>
      <c r="HU42" s="172"/>
      <c r="HV42" s="172"/>
      <c r="HW42" s="172"/>
      <c r="HX42" s="172"/>
      <c r="HY42" s="172"/>
      <c r="HZ42" s="172"/>
      <c r="IA42" s="172"/>
      <c r="IB42" s="172"/>
      <c r="IC42" s="172"/>
      <c r="ID42" s="172"/>
      <c r="IE42" s="172"/>
      <c r="IF42" s="172"/>
      <c r="IG42" s="172"/>
      <c r="IH42" s="172"/>
      <c r="II42" s="172"/>
      <c r="IJ42" s="172"/>
      <c r="IK42" s="172"/>
      <c r="IL42" s="172"/>
      <c r="IM42" s="172"/>
      <c r="IN42" s="172"/>
      <c r="IO42" s="172"/>
      <c r="IP42" s="172"/>
      <c r="IQ42" s="172"/>
      <c r="IR42" s="172"/>
      <c r="IS42" s="172"/>
    </row>
  </sheetData>
  <mergeCells count="24">
    <mergeCell ref="A32:F32"/>
    <mergeCell ref="A33:F33"/>
    <mergeCell ref="C34:E34"/>
    <mergeCell ref="A1:G1"/>
    <mergeCell ref="A2:G2"/>
    <mergeCell ref="A18:F18"/>
    <mergeCell ref="A23:F23"/>
    <mergeCell ref="A29:F29"/>
    <mergeCell ref="A24:G24"/>
    <mergeCell ref="A3:G3"/>
    <mergeCell ref="A8:G8"/>
    <mergeCell ref="A9:G9"/>
    <mergeCell ref="A4:G4"/>
    <mergeCell ref="A5:G5"/>
    <mergeCell ref="A19:G19"/>
    <mergeCell ref="G21:G22"/>
    <mergeCell ref="B37:E37"/>
    <mergeCell ref="A42:B42"/>
    <mergeCell ref="C42:G42"/>
    <mergeCell ref="A35:A36"/>
    <mergeCell ref="B35:B36"/>
    <mergeCell ref="C35:E36"/>
    <mergeCell ref="F35:F36"/>
    <mergeCell ref="G35:G36"/>
  </mergeCells>
  <pageMargins left="0.7" right="0.7" top="0.75" bottom="0.75" header="0.3" footer="0.3"/>
  <pageSetup paperSize="9" scale="97" orientation="portrait" r:id="rId1"/>
  <rowBreaks count="1" manualBreakCount="1">
    <brk id="23" max="6" man="1"/>
  </rowBreaks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zoomScale="115" zoomScaleNormal="115" zoomScaleSheetLayoutView="130" workbookViewId="0">
      <selection activeCell="A4" sqref="A4:R4"/>
    </sheetView>
  </sheetViews>
  <sheetFormatPr defaultRowHeight="12.75" x14ac:dyDescent="0.2"/>
  <cols>
    <col min="1" max="1" width="5.85546875" style="225" customWidth="1"/>
    <col min="2" max="2" width="28.7109375" style="225" customWidth="1"/>
    <col min="3" max="3" width="24.42578125" style="225" customWidth="1"/>
    <col min="4" max="4" width="25.140625" style="225" customWidth="1"/>
    <col min="5" max="5" width="12.42578125" style="225" customWidth="1"/>
    <col min="6" max="7" width="9.140625" style="225"/>
    <col min="8" max="8" width="11.140625" style="225" bestFit="1" customWidth="1"/>
    <col min="9" max="13" width="9.140625" style="225"/>
    <col min="14" max="14" width="17.140625" style="225" customWidth="1"/>
    <col min="15" max="16384" width="9.140625" style="225"/>
  </cols>
  <sheetData>
    <row r="1" spans="1:18" x14ac:dyDescent="0.2">
      <c r="A1" s="441" t="s">
        <v>329</v>
      </c>
      <c r="B1" s="441"/>
      <c r="C1" s="441"/>
      <c r="D1" s="441"/>
      <c r="E1" s="441"/>
    </row>
    <row r="2" spans="1:18" x14ac:dyDescent="0.2">
      <c r="A2" s="441" t="s">
        <v>73</v>
      </c>
      <c r="B2" s="441"/>
      <c r="C2" s="441"/>
      <c r="D2" s="441"/>
      <c r="E2" s="441"/>
    </row>
    <row r="3" spans="1:18" s="24" customFormat="1" ht="30.75" customHeight="1" x14ac:dyDescent="0.2">
      <c r="A3" s="334" t="s">
        <v>397</v>
      </c>
      <c r="B3" s="334"/>
      <c r="C3" s="334"/>
      <c r="D3" s="334"/>
      <c r="E3" s="334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18" s="24" customFormat="1" x14ac:dyDescent="0.2">
      <c r="A4" s="297"/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</row>
    <row r="5" spans="1:18" s="24" customFormat="1" x14ac:dyDescent="0.2">
      <c r="A5" s="298" t="s">
        <v>75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</row>
    <row r="6" spans="1:18" ht="38.25" x14ac:dyDescent="0.2">
      <c r="A6" s="226" t="s">
        <v>39</v>
      </c>
      <c r="B6" s="226" t="s">
        <v>72</v>
      </c>
      <c r="C6" s="226" t="s">
        <v>71</v>
      </c>
      <c r="D6" s="226" t="s">
        <v>70</v>
      </c>
      <c r="E6" s="226" t="s">
        <v>328</v>
      </c>
      <c r="F6" s="227"/>
      <c r="G6" s="228">
        <v>105.5</v>
      </c>
    </row>
    <row r="7" spans="1:18" ht="80.25" customHeight="1" x14ac:dyDescent="0.2">
      <c r="A7" s="433">
        <v>1</v>
      </c>
      <c r="B7" s="436" t="str">
        <f>"Проект планировки территории линейного объекта. Площадь га."&amp;" "&amp;G6</f>
        <v>Проект планировки территории линейного объекта. Площадь га. 105,5</v>
      </c>
      <c r="C7" s="228" t="s">
        <v>68</v>
      </c>
      <c r="D7" s="228" t="s">
        <v>67</v>
      </c>
      <c r="E7" s="442">
        <f>(1496.98+71.28*G6)*0.08*0.3*1000</f>
        <v>216408.48000000004</v>
      </c>
      <c r="F7" s="227"/>
    </row>
    <row r="8" spans="1:18" x14ac:dyDescent="0.2">
      <c r="A8" s="434"/>
      <c r="B8" s="437"/>
      <c r="C8" s="228" t="s">
        <v>370</v>
      </c>
      <c r="D8" s="228" t="s">
        <v>66</v>
      </c>
      <c r="E8" s="443"/>
      <c r="F8" s="227"/>
    </row>
    <row r="9" spans="1:18" x14ac:dyDescent="0.2">
      <c r="A9" s="434"/>
      <c r="B9" s="437"/>
      <c r="C9" s="228" t="s">
        <v>371</v>
      </c>
      <c r="D9" s="228" t="s">
        <v>65</v>
      </c>
      <c r="E9" s="443"/>
      <c r="F9" s="227"/>
    </row>
    <row r="10" spans="1:18" x14ac:dyDescent="0.2">
      <c r="A10" s="434"/>
      <c r="B10" s="437"/>
      <c r="C10" s="228" t="str">
        <f>"Х га="&amp;" "&amp;G6</f>
        <v>Х га= 105,5</v>
      </c>
      <c r="D10" s="228"/>
      <c r="E10" s="443"/>
      <c r="F10" s="227"/>
    </row>
    <row r="11" spans="1:18" x14ac:dyDescent="0.2">
      <c r="A11" s="434"/>
      <c r="B11" s="437"/>
      <c r="C11" s="228" t="s">
        <v>205</v>
      </c>
      <c r="D11" s="228" t="s">
        <v>204</v>
      </c>
      <c r="E11" s="443"/>
      <c r="F11" s="227"/>
    </row>
    <row r="12" spans="1:18" ht="38.25" x14ac:dyDescent="0.2">
      <c r="A12" s="434"/>
      <c r="B12" s="437"/>
      <c r="C12" s="228" t="s">
        <v>69</v>
      </c>
      <c r="D12" s="228" t="s">
        <v>63</v>
      </c>
      <c r="E12" s="443"/>
      <c r="F12" s="227"/>
    </row>
    <row r="13" spans="1:18" x14ac:dyDescent="0.2">
      <c r="A13" s="435"/>
      <c r="B13" s="229" t="s">
        <v>62</v>
      </c>
      <c r="C13" s="228" t="s">
        <v>382</v>
      </c>
      <c r="D13" s="228"/>
      <c r="E13" s="444"/>
      <c r="F13" s="227"/>
    </row>
    <row r="14" spans="1:18" ht="76.5" x14ac:dyDescent="0.2">
      <c r="A14" s="433">
        <v>2</v>
      </c>
      <c r="B14" s="436" t="str">
        <f>"Проект планировки территории линейного объекта. Площадь га."&amp;" "&amp;G6</f>
        <v>Проект планировки территории линейного объекта. Площадь га. 105,5</v>
      </c>
      <c r="C14" s="228" t="s">
        <v>68</v>
      </c>
      <c r="D14" s="228" t="s">
        <v>67</v>
      </c>
      <c r="E14" s="438">
        <f>(1496.98+71.28*G6)*0.08*0.4*1000</f>
        <v>288544.64000000001</v>
      </c>
      <c r="F14" s="227"/>
    </row>
    <row r="15" spans="1:18" x14ac:dyDescent="0.2">
      <c r="A15" s="434"/>
      <c r="B15" s="437"/>
      <c r="C15" s="228" t="s">
        <v>370</v>
      </c>
      <c r="D15" s="228" t="s">
        <v>66</v>
      </c>
      <c r="E15" s="439"/>
      <c r="F15" s="227"/>
    </row>
    <row r="16" spans="1:18" x14ac:dyDescent="0.2">
      <c r="A16" s="434"/>
      <c r="B16" s="437"/>
      <c r="C16" s="228" t="s">
        <v>371</v>
      </c>
      <c r="D16" s="228" t="s">
        <v>65</v>
      </c>
      <c r="E16" s="439"/>
      <c r="F16" s="227"/>
    </row>
    <row r="17" spans="1:6" x14ac:dyDescent="0.2">
      <c r="A17" s="434"/>
      <c r="B17" s="437"/>
      <c r="C17" s="228" t="str">
        <f>"Х га="&amp;" "&amp;G6</f>
        <v>Х га= 105,5</v>
      </c>
      <c r="D17" s="228"/>
      <c r="E17" s="439"/>
      <c r="F17" s="227"/>
    </row>
    <row r="18" spans="1:6" x14ac:dyDescent="0.2">
      <c r="A18" s="434"/>
      <c r="B18" s="437"/>
      <c r="C18" s="228" t="s">
        <v>205</v>
      </c>
      <c r="D18" s="228" t="s">
        <v>204</v>
      </c>
      <c r="E18" s="439"/>
      <c r="F18" s="227"/>
    </row>
    <row r="19" spans="1:6" ht="38.25" x14ac:dyDescent="0.2">
      <c r="A19" s="434"/>
      <c r="B19" s="437"/>
      <c r="C19" s="228" t="s">
        <v>64</v>
      </c>
      <c r="D19" s="228" t="s">
        <v>63</v>
      </c>
      <c r="E19" s="439"/>
      <c r="F19" s="227"/>
    </row>
    <row r="20" spans="1:6" ht="25.5" x14ac:dyDescent="0.2">
      <c r="A20" s="435"/>
      <c r="B20" s="229" t="s">
        <v>62</v>
      </c>
      <c r="C20" s="228" t="s">
        <v>399</v>
      </c>
      <c r="D20" s="228"/>
      <c r="E20" s="440"/>
      <c r="F20" s="227"/>
    </row>
    <row r="21" spans="1:6" x14ac:dyDescent="0.2">
      <c r="A21" s="230"/>
      <c r="B21" s="230" t="s">
        <v>61</v>
      </c>
      <c r="C21" s="230"/>
      <c r="D21" s="230"/>
      <c r="E21" s="231">
        <f>E14+E7</f>
        <v>504953.12000000005</v>
      </c>
      <c r="F21" s="227"/>
    </row>
    <row r="22" spans="1:6" ht="27" customHeight="1" x14ac:dyDescent="0.2">
      <c r="A22" s="230"/>
      <c r="B22" s="232" t="s">
        <v>326</v>
      </c>
      <c r="C22" s="230"/>
      <c r="D22" s="230"/>
      <c r="E22" s="231">
        <f>E21*1.15</f>
        <v>580696.08799999999</v>
      </c>
      <c r="F22" s="227"/>
    </row>
    <row r="23" spans="1:6" ht="25.5" x14ac:dyDescent="0.2">
      <c r="A23" s="230"/>
      <c r="B23" s="232" t="s">
        <v>91</v>
      </c>
      <c r="C23" s="230" t="s">
        <v>400</v>
      </c>
      <c r="D23" s="232" t="s">
        <v>76</v>
      </c>
      <c r="E23" s="231">
        <f>E22*6.11</f>
        <v>3548053.0976800001</v>
      </c>
      <c r="F23" s="227"/>
    </row>
    <row r="24" spans="1:6" x14ac:dyDescent="0.2">
      <c r="A24" s="227"/>
      <c r="B24" s="227"/>
      <c r="C24" s="227"/>
      <c r="D24" s="227"/>
      <c r="E24" s="227"/>
      <c r="F24" s="227"/>
    </row>
    <row r="25" spans="1:6" x14ac:dyDescent="0.2">
      <c r="A25" s="227"/>
      <c r="B25" s="227"/>
      <c r="C25" s="227"/>
      <c r="D25" s="227"/>
      <c r="E25" s="227"/>
      <c r="F25" s="227"/>
    </row>
    <row r="26" spans="1:6" x14ac:dyDescent="0.2">
      <c r="A26" s="227"/>
      <c r="B26" s="227"/>
      <c r="C26" s="227"/>
      <c r="D26" s="227"/>
      <c r="E26" s="227"/>
      <c r="F26" s="227"/>
    </row>
  </sheetData>
  <mergeCells count="11">
    <mergeCell ref="A14:A20"/>
    <mergeCell ref="B14:B19"/>
    <mergeCell ref="E14:E20"/>
    <mergeCell ref="A1:E1"/>
    <mergeCell ref="A2:E2"/>
    <mergeCell ref="A3:E3"/>
    <mergeCell ref="A4:R4"/>
    <mergeCell ref="A5:R5"/>
    <mergeCell ref="A7:A13"/>
    <mergeCell ref="B7:B12"/>
    <mergeCell ref="E7:E13"/>
  </mergeCells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zoomScale="145" zoomScaleNormal="145" zoomScaleSheetLayoutView="160" workbookViewId="0">
      <selection activeCell="A10" sqref="A10:F10"/>
    </sheetView>
  </sheetViews>
  <sheetFormatPr defaultRowHeight="12.75" x14ac:dyDescent="0.2"/>
  <cols>
    <col min="1" max="1" width="9.140625" style="24"/>
    <col min="2" max="2" width="38.140625" style="24" customWidth="1"/>
    <col min="3" max="3" width="15.140625" style="24" customWidth="1"/>
    <col min="4" max="4" width="12.7109375" style="24" customWidth="1"/>
    <col min="5" max="5" width="9.140625" style="24"/>
    <col min="6" max="6" width="11" style="24" bestFit="1" customWidth="1"/>
    <col min="7" max="7" width="16.140625" style="24" bestFit="1" customWidth="1"/>
    <col min="8" max="8" width="12.85546875" style="29" customWidth="1"/>
    <col min="9" max="9" width="10.42578125" style="24" bestFit="1" customWidth="1"/>
    <col min="10" max="10" width="13" style="24" customWidth="1"/>
    <col min="11" max="16384" width="9.140625" style="24"/>
  </cols>
  <sheetData>
    <row r="1" spans="1:18" ht="13.5" customHeight="1" x14ac:dyDescent="0.2">
      <c r="A1" s="200"/>
      <c r="B1" s="295" t="s">
        <v>330</v>
      </c>
      <c r="C1" s="295"/>
      <c r="D1" s="295"/>
      <c r="E1" s="295"/>
      <c r="F1" s="295"/>
      <c r="G1" s="295"/>
      <c r="H1" s="295"/>
    </row>
    <row r="2" spans="1:18" ht="30" customHeight="1" x14ac:dyDescent="0.2">
      <c r="A2" s="446" t="s">
        <v>92</v>
      </c>
      <c r="B2" s="295"/>
      <c r="C2" s="295"/>
      <c r="D2" s="295"/>
      <c r="E2" s="295"/>
      <c r="F2" s="295"/>
      <c r="G2" s="295"/>
      <c r="H2" s="295"/>
      <c r="K2" s="223"/>
    </row>
    <row r="3" spans="1:18" ht="15" customHeight="1" x14ac:dyDescent="0.2">
      <c r="A3" s="446" t="s">
        <v>397</v>
      </c>
      <c r="B3" s="295"/>
      <c r="C3" s="295"/>
      <c r="D3" s="295"/>
      <c r="E3" s="295"/>
      <c r="F3" s="295"/>
      <c r="G3" s="295"/>
      <c r="H3" s="295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18" ht="15.75" customHeight="1" x14ac:dyDescent="0.2">
      <c r="A4" s="447" t="s">
        <v>74</v>
      </c>
      <c r="B4" s="448"/>
      <c r="C4" s="448"/>
      <c r="D4" s="448"/>
      <c r="E4" s="448"/>
      <c r="F4" s="448"/>
      <c r="G4" s="448"/>
      <c r="H4" s="448"/>
      <c r="I4" s="132"/>
      <c r="K4" s="25"/>
      <c r="M4" s="25"/>
    </row>
    <row r="5" spans="1:18" ht="15.75" customHeight="1" x14ac:dyDescent="0.2">
      <c r="A5" s="447" t="s">
        <v>75</v>
      </c>
      <c r="B5" s="448"/>
      <c r="C5" s="448"/>
      <c r="D5" s="448"/>
      <c r="E5" s="448"/>
      <c r="F5" s="448"/>
      <c r="G5" s="448"/>
      <c r="H5" s="448"/>
      <c r="I5" s="201"/>
      <c r="K5" s="25"/>
      <c r="M5" s="25"/>
    </row>
    <row r="6" spans="1:18" x14ac:dyDescent="0.2">
      <c r="A6" s="143" t="s">
        <v>39</v>
      </c>
      <c r="B6" s="143" t="s">
        <v>93</v>
      </c>
      <c r="C6" s="143" t="s">
        <v>94</v>
      </c>
      <c r="D6" s="143" t="s">
        <v>95</v>
      </c>
      <c r="E6" s="143" t="s">
        <v>96</v>
      </c>
      <c r="F6" s="143" t="s">
        <v>97</v>
      </c>
      <c r="G6" s="143" t="s">
        <v>98</v>
      </c>
      <c r="H6" s="206" t="s">
        <v>99</v>
      </c>
    </row>
    <row r="7" spans="1:18" x14ac:dyDescent="0.2">
      <c r="A7" s="445" t="s">
        <v>100</v>
      </c>
      <c r="B7" s="445"/>
      <c r="C7" s="445"/>
      <c r="D7" s="445"/>
      <c r="E7" s="445"/>
      <c r="F7" s="445"/>
      <c r="G7" s="445"/>
      <c r="H7" s="445"/>
    </row>
    <row r="8" spans="1:18" ht="38.25" x14ac:dyDescent="0.2">
      <c r="A8" s="207">
        <v>1</v>
      </c>
      <c r="B8" s="214" t="s">
        <v>101</v>
      </c>
      <c r="C8" s="209" t="s">
        <v>102</v>
      </c>
      <c r="D8" s="143" t="s">
        <v>322</v>
      </c>
      <c r="E8" s="143">
        <v>105.5</v>
      </c>
      <c r="F8" s="143">
        <v>930</v>
      </c>
      <c r="G8" s="143" t="s">
        <v>331</v>
      </c>
      <c r="H8" s="205">
        <f>(2+(0.5*(E8-2)))*930</f>
        <v>49987.5</v>
      </c>
    </row>
    <row r="9" spans="1:18" ht="38.25" x14ac:dyDescent="0.2">
      <c r="A9" s="208">
        <v>2</v>
      </c>
      <c r="B9" s="215" t="s">
        <v>103</v>
      </c>
      <c r="C9" s="209" t="s">
        <v>104</v>
      </c>
      <c r="D9" s="209" t="s">
        <v>105</v>
      </c>
      <c r="E9" s="233">
        <f>E8/2</f>
        <v>52.75</v>
      </c>
      <c r="F9" s="218">
        <v>390</v>
      </c>
      <c r="G9" s="218" t="str">
        <f>"390*"&amp;" "&amp;E9</f>
        <v>390* 52,75</v>
      </c>
      <c r="H9" s="205">
        <f>F9*E9</f>
        <v>20572.5</v>
      </c>
    </row>
    <row r="10" spans="1:18" x14ac:dyDescent="0.2">
      <c r="A10" s="451" t="s">
        <v>42</v>
      </c>
      <c r="B10" s="452"/>
      <c r="C10" s="452"/>
      <c r="D10" s="452"/>
      <c r="E10" s="452"/>
      <c r="F10" s="453"/>
      <c r="G10" s="220"/>
      <c r="H10" s="203">
        <f>H8+H9</f>
        <v>70560</v>
      </c>
    </row>
    <row r="11" spans="1:18" x14ac:dyDescent="0.2">
      <c r="A11" s="454" t="s">
        <v>106</v>
      </c>
      <c r="B11" s="455"/>
      <c r="C11" s="221"/>
      <c r="D11" s="221"/>
      <c r="E11" s="221"/>
      <c r="F11" s="221"/>
      <c r="G11" s="212">
        <v>1</v>
      </c>
      <c r="H11" s="203">
        <f>H10*G11</f>
        <v>70560</v>
      </c>
    </row>
    <row r="12" spans="1:18" x14ac:dyDescent="0.2">
      <c r="A12" s="456" t="s">
        <v>107</v>
      </c>
      <c r="B12" s="456"/>
      <c r="C12" s="456"/>
      <c r="D12" s="456"/>
      <c r="E12" s="456"/>
      <c r="F12" s="456"/>
      <c r="G12" s="456"/>
      <c r="H12" s="456"/>
    </row>
    <row r="13" spans="1:18" ht="38.25" x14ac:dyDescent="0.2">
      <c r="A13" s="208">
        <v>3</v>
      </c>
      <c r="B13" s="213" t="s">
        <v>108</v>
      </c>
      <c r="C13" s="210" t="s">
        <v>109</v>
      </c>
      <c r="D13" s="209" t="s">
        <v>110</v>
      </c>
      <c r="E13" s="143">
        <v>2</v>
      </c>
      <c r="F13" s="143">
        <v>530</v>
      </c>
      <c r="G13" s="143" t="s">
        <v>321</v>
      </c>
      <c r="H13" s="211">
        <f>F13*E13</f>
        <v>1060</v>
      </c>
    </row>
    <row r="14" spans="1:18" ht="51" x14ac:dyDescent="0.2">
      <c r="A14" s="208">
        <v>4</v>
      </c>
      <c r="B14" s="213" t="s">
        <v>111</v>
      </c>
      <c r="C14" s="209" t="s">
        <v>112</v>
      </c>
      <c r="D14" s="209" t="s">
        <v>113</v>
      </c>
      <c r="E14" s="143">
        <v>1</v>
      </c>
      <c r="F14" s="143">
        <v>78</v>
      </c>
      <c r="G14" s="143" t="s">
        <v>114</v>
      </c>
      <c r="H14" s="211">
        <f>F14*E14</f>
        <v>78</v>
      </c>
    </row>
    <row r="15" spans="1:18" x14ac:dyDescent="0.2">
      <c r="A15" s="457" t="s">
        <v>115</v>
      </c>
      <c r="B15" s="457"/>
      <c r="C15" s="457"/>
      <c r="D15" s="457"/>
      <c r="E15" s="457"/>
      <c r="F15" s="457"/>
      <c r="G15" s="221"/>
      <c r="H15" s="203">
        <f>H14+H13</f>
        <v>1138</v>
      </c>
    </row>
    <row r="16" spans="1:18" x14ac:dyDescent="0.2">
      <c r="A16" s="451" t="s">
        <v>327</v>
      </c>
      <c r="B16" s="458"/>
      <c r="C16" s="458"/>
      <c r="D16" s="458"/>
      <c r="E16" s="458"/>
      <c r="F16" s="455"/>
      <c r="G16" s="220"/>
      <c r="H16" s="203">
        <f>(H15+H11)*1.15</f>
        <v>82452.7</v>
      </c>
    </row>
    <row r="17" spans="1:9" x14ac:dyDescent="0.2">
      <c r="A17" s="204" t="s">
        <v>116</v>
      </c>
      <c r="B17" s="204"/>
      <c r="C17" s="459" t="s">
        <v>117</v>
      </c>
      <c r="D17" s="459"/>
      <c r="E17" s="459"/>
      <c r="F17" s="459"/>
      <c r="G17" s="222"/>
      <c r="H17" s="26">
        <f>H16*58.4</f>
        <v>4815237.68</v>
      </c>
    </row>
    <row r="19" spans="1:9" x14ac:dyDescent="0.2">
      <c r="B19" s="449"/>
      <c r="C19" s="450"/>
      <c r="D19" s="450"/>
      <c r="E19" s="450"/>
      <c r="F19" s="27"/>
      <c r="G19" s="219"/>
      <c r="H19" s="28"/>
    </row>
    <row r="20" spans="1:9" x14ac:dyDescent="0.2">
      <c r="B20" s="219"/>
      <c r="C20" s="219"/>
      <c r="D20" s="219"/>
      <c r="E20" s="219"/>
      <c r="F20" s="219"/>
      <c r="G20" s="219"/>
      <c r="H20" s="219"/>
      <c r="I20" s="29"/>
    </row>
    <row r="21" spans="1:9" x14ac:dyDescent="0.2">
      <c r="B21" s="219"/>
      <c r="C21" s="219"/>
      <c r="D21" s="219"/>
      <c r="E21" s="219"/>
      <c r="F21" s="219"/>
      <c r="G21" s="219"/>
      <c r="H21" s="219"/>
    </row>
    <row r="22" spans="1:9" x14ac:dyDescent="0.2">
      <c r="B22" s="202"/>
      <c r="C22" s="219"/>
      <c r="D22" s="219"/>
      <c r="E22" s="219"/>
      <c r="F22" s="219"/>
      <c r="G22" s="219"/>
      <c r="H22" s="219"/>
    </row>
    <row r="23" spans="1:9" x14ac:dyDescent="0.2">
      <c r="B23" s="219"/>
      <c r="C23" s="219"/>
      <c r="D23" s="219"/>
      <c r="E23" s="219"/>
      <c r="F23" s="219"/>
      <c r="G23" s="219"/>
      <c r="H23" s="219"/>
    </row>
    <row r="24" spans="1:9" x14ac:dyDescent="0.2">
      <c r="B24" s="27"/>
      <c r="C24" s="219"/>
      <c r="D24" s="219"/>
      <c r="E24" s="219"/>
      <c r="F24" s="27"/>
      <c r="G24" s="219"/>
      <c r="H24" s="219"/>
    </row>
    <row r="25" spans="1:9" x14ac:dyDescent="0.2">
      <c r="B25" s="219"/>
      <c r="C25" s="219"/>
      <c r="D25" s="219"/>
      <c r="E25" s="219"/>
      <c r="F25" s="219"/>
      <c r="G25" s="219"/>
      <c r="H25" s="219"/>
    </row>
  </sheetData>
  <mergeCells count="13">
    <mergeCell ref="B19:E19"/>
    <mergeCell ref="A10:F10"/>
    <mergeCell ref="A11:B11"/>
    <mergeCell ref="A12:H12"/>
    <mergeCell ref="A15:F15"/>
    <mergeCell ref="A16:F16"/>
    <mergeCell ref="C17:F17"/>
    <mergeCell ref="A7:H7"/>
    <mergeCell ref="B1:H1"/>
    <mergeCell ref="A2:H2"/>
    <mergeCell ref="A3:H3"/>
    <mergeCell ref="A4:H4"/>
    <mergeCell ref="A5:H5"/>
  </mergeCells>
  <pageMargins left="0.75" right="0.75" top="1" bottom="1" header="0.5" footer="0.5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82"/>
  <sheetViews>
    <sheetView topLeftCell="A52" workbookViewId="0">
      <selection activeCell="A4" sqref="A4:I4"/>
    </sheetView>
  </sheetViews>
  <sheetFormatPr defaultColWidth="11.5703125" defaultRowHeight="12.75" x14ac:dyDescent="0.2"/>
  <cols>
    <col min="1" max="1" width="3.7109375" style="238" customWidth="1"/>
    <col min="2" max="2" width="10.7109375" style="238" customWidth="1"/>
    <col min="3" max="3" width="15.5703125" style="238" customWidth="1"/>
    <col min="4" max="4" width="4.42578125" style="238" customWidth="1"/>
    <col min="5" max="7" width="9.28515625" style="238" customWidth="1"/>
    <col min="8" max="8" width="19.7109375" style="238" customWidth="1"/>
    <col min="9" max="9" width="14.7109375" style="238" customWidth="1"/>
    <col min="10" max="10" width="19.7109375" style="234" customWidth="1"/>
    <col min="11" max="256" width="11.5703125" style="234"/>
    <col min="257" max="257" width="3.7109375" style="234" customWidth="1"/>
    <col min="258" max="258" width="10.7109375" style="234" customWidth="1"/>
    <col min="259" max="259" width="15.5703125" style="234" customWidth="1"/>
    <col min="260" max="260" width="4.42578125" style="234" customWidth="1"/>
    <col min="261" max="263" width="9.28515625" style="234" customWidth="1"/>
    <col min="264" max="264" width="19.7109375" style="234" customWidth="1"/>
    <col min="265" max="265" width="14.7109375" style="234" customWidth="1"/>
    <col min="266" max="266" width="19.7109375" style="234" customWidth="1"/>
    <col min="267" max="512" width="11.5703125" style="234"/>
    <col min="513" max="513" width="3.7109375" style="234" customWidth="1"/>
    <col min="514" max="514" width="10.7109375" style="234" customWidth="1"/>
    <col min="515" max="515" width="15.5703125" style="234" customWidth="1"/>
    <col min="516" max="516" width="4.42578125" style="234" customWidth="1"/>
    <col min="517" max="519" width="9.28515625" style="234" customWidth="1"/>
    <col min="520" max="520" width="19.7109375" style="234" customWidth="1"/>
    <col min="521" max="521" width="14.7109375" style="234" customWidth="1"/>
    <col min="522" max="522" width="19.7109375" style="234" customWidth="1"/>
    <col min="523" max="768" width="11.5703125" style="234"/>
    <col min="769" max="769" width="3.7109375" style="234" customWidth="1"/>
    <col min="770" max="770" width="10.7109375" style="234" customWidth="1"/>
    <col min="771" max="771" width="15.5703125" style="234" customWidth="1"/>
    <col min="772" max="772" width="4.42578125" style="234" customWidth="1"/>
    <col min="773" max="775" width="9.28515625" style="234" customWidth="1"/>
    <col min="776" max="776" width="19.7109375" style="234" customWidth="1"/>
    <col min="777" max="777" width="14.7109375" style="234" customWidth="1"/>
    <col min="778" max="778" width="19.7109375" style="234" customWidth="1"/>
    <col min="779" max="1024" width="11.5703125" style="234"/>
    <col min="1025" max="1025" width="3.7109375" style="234" customWidth="1"/>
    <col min="1026" max="1026" width="10.7109375" style="234" customWidth="1"/>
    <col min="1027" max="1027" width="15.5703125" style="234" customWidth="1"/>
    <col min="1028" max="1028" width="4.42578125" style="234" customWidth="1"/>
    <col min="1029" max="1031" width="9.28515625" style="234" customWidth="1"/>
    <col min="1032" max="1032" width="19.7109375" style="234" customWidth="1"/>
    <col min="1033" max="1033" width="14.7109375" style="234" customWidth="1"/>
    <col min="1034" max="1034" width="19.7109375" style="234" customWidth="1"/>
    <col min="1035" max="1280" width="11.5703125" style="234"/>
    <col min="1281" max="1281" width="3.7109375" style="234" customWidth="1"/>
    <col min="1282" max="1282" width="10.7109375" style="234" customWidth="1"/>
    <col min="1283" max="1283" width="15.5703125" style="234" customWidth="1"/>
    <col min="1284" max="1284" width="4.42578125" style="234" customWidth="1"/>
    <col min="1285" max="1287" width="9.28515625" style="234" customWidth="1"/>
    <col min="1288" max="1288" width="19.7109375" style="234" customWidth="1"/>
    <col min="1289" max="1289" width="14.7109375" style="234" customWidth="1"/>
    <col min="1290" max="1290" width="19.7109375" style="234" customWidth="1"/>
    <col min="1291" max="1536" width="11.5703125" style="234"/>
    <col min="1537" max="1537" width="3.7109375" style="234" customWidth="1"/>
    <col min="1538" max="1538" width="10.7109375" style="234" customWidth="1"/>
    <col min="1539" max="1539" width="15.5703125" style="234" customWidth="1"/>
    <col min="1540" max="1540" width="4.42578125" style="234" customWidth="1"/>
    <col min="1541" max="1543" width="9.28515625" style="234" customWidth="1"/>
    <col min="1544" max="1544" width="19.7109375" style="234" customWidth="1"/>
    <col min="1545" max="1545" width="14.7109375" style="234" customWidth="1"/>
    <col min="1546" max="1546" width="19.7109375" style="234" customWidth="1"/>
    <col min="1547" max="1792" width="11.5703125" style="234"/>
    <col min="1793" max="1793" width="3.7109375" style="234" customWidth="1"/>
    <col min="1794" max="1794" width="10.7109375" style="234" customWidth="1"/>
    <col min="1795" max="1795" width="15.5703125" style="234" customWidth="1"/>
    <col min="1796" max="1796" width="4.42578125" style="234" customWidth="1"/>
    <col min="1797" max="1799" width="9.28515625" style="234" customWidth="1"/>
    <col min="1800" max="1800" width="19.7109375" style="234" customWidth="1"/>
    <col min="1801" max="1801" width="14.7109375" style="234" customWidth="1"/>
    <col min="1802" max="1802" width="19.7109375" style="234" customWidth="1"/>
    <col min="1803" max="2048" width="11.5703125" style="234"/>
    <col min="2049" max="2049" width="3.7109375" style="234" customWidth="1"/>
    <col min="2050" max="2050" width="10.7109375" style="234" customWidth="1"/>
    <col min="2051" max="2051" width="15.5703125" style="234" customWidth="1"/>
    <col min="2052" max="2052" width="4.42578125" style="234" customWidth="1"/>
    <col min="2053" max="2055" width="9.28515625" style="234" customWidth="1"/>
    <col min="2056" max="2056" width="19.7109375" style="234" customWidth="1"/>
    <col min="2057" max="2057" width="14.7109375" style="234" customWidth="1"/>
    <col min="2058" max="2058" width="19.7109375" style="234" customWidth="1"/>
    <col min="2059" max="2304" width="11.5703125" style="234"/>
    <col min="2305" max="2305" width="3.7109375" style="234" customWidth="1"/>
    <col min="2306" max="2306" width="10.7109375" style="234" customWidth="1"/>
    <col min="2307" max="2307" width="15.5703125" style="234" customWidth="1"/>
    <col min="2308" max="2308" width="4.42578125" style="234" customWidth="1"/>
    <col min="2309" max="2311" width="9.28515625" style="234" customWidth="1"/>
    <col min="2312" max="2312" width="19.7109375" style="234" customWidth="1"/>
    <col min="2313" max="2313" width="14.7109375" style="234" customWidth="1"/>
    <col min="2314" max="2314" width="19.7109375" style="234" customWidth="1"/>
    <col min="2315" max="2560" width="11.5703125" style="234"/>
    <col min="2561" max="2561" width="3.7109375" style="234" customWidth="1"/>
    <col min="2562" max="2562" width="10.7109375" style="234" customWidth="1"/>
    <col min="2563" max="2563" width="15.5703125" style="234" customWidth="1"/>
    <col min="2564" max="2564" width="4.42578125" style="234" customWidth="1"/>
    <col min="2565" max="2567" width="9.28515625" style="234" customWidth="1"/>
    <col min="2568" max="2568" width="19.7109375" style="234" customWidth="1"/>
    <col min="2569" max="2569" width="14.7109375" style="234" customWidth="1"/>
    <col min="2570" max="2570" width="19.7109375" style="234" customWidth="1"/>
    <col min="2571" max="2816" width="11.5703125" style="234"/>
    <col min="2817" max="2817" width="3.7109375" style="234" customWidth="1"/>
    <col min="2818" max="2818" width="10.7109375" style="234" customWidth="1"/>
    <col min="2819" max="2819" width="15.5703125" style="234" customWidth="1"/>
    <col min="2820" max="2820" width="4.42578125" style="234" customWidth="1"/>
    <col min="2821" max="2823" width="9.28515625" style="234" customWidth="1"/>
    <col min="2824" max="2824" width="19.7109375" style="234" customWidth="1"/>
    <col min="2825" max="2825" width="14.7109375" style="234" customWidth="1"/>
    <col min="2826" max="2826" width="19.7109375" style="234" customWidth="1"/>
    <col min="2827" max="3072" width="11.5703125" style="234"/>
    <col min="3073" max="3073" width="3.7109375" style="234" customWidth="1"/>
    <col min="3074" max="3074" width="10.7109375" style="234" customWidth="1"/>
    <col min="3075" max="3075" width="15.5703125" style="234" customWidth="1"/>
    <col min="3076" max="3076" width="4.42578125" style="234" customWidth="1"/>
    <col min="3077" max="3079" width="9.28515625" style="234" customWidth="1"/>
    <col min="3080" max="3080" width="19.7109375" style="234" customWidth="1"/>
    <col min="3081" max="3081" width="14.7109375" style="234" customWidth="1"/>
    <col min="3082" max="3082" width="19.7109375" style="234" customWidth="1"/>
    <col min="3083" max="3328" width="11.5703125" style="234"/>
    <col min="3329" max="3329" width="3.7109375" style="234" customWidth="1"/>
    <col min="3330" max="3330" width="10.7109375" style="234" customWidth="1"/>
    <col min="3331" max="3331" width="15.5703125" style="234" customWidth="1"/>
    <col min="3332" max="3332" width="4.42578125" style="234" customWidth="1"/>
    <col min="3333" max="3335" width="9.28515625" style="234" customWidth="1"/>
    <col min="3336" max="3336" width="19.7109375" style="234" customWidth="1"/>
    <col min="3337" max="3337" width="14.7109375" style="234" customWidth="1"/>
    <col min="3338" max="3338" width="19.7109375" style="234" customWidth="1"/>
    <col min="3339" max="3584" width="11.5703125" style="234"/>
    <col min="3585" max="3585" width="3.7109375" style="234" customWidth="1"/>
    <col min="3586" max="3586" width="10.7109375" style="234" customWidth="1"/>
    <col min="3587" max="3587" width="15.5703125" style="234" customWidth="1"/>
    <col min="3588" max="3588" width="4.42578125" style="234" customWidth="1"/>
    <col min="3589" max="3591" width="9.28515625" style="234" customWidth="1"/>
    <col min="3592" max="3592" width="19.7109375" style="234" customWidth="1"/>
    <col min="3593" max="3593" width="14.7109375" style="234" customWidth="1"/>
    <col min="3594" max="3594" width="19.7109375" style="234" customWidth="1"/>
    <col min="3595" max="3840" width="11.5703125" style="234"/>
    <col min="3841" max="3841" width="3.7109375" style="234" customWidth="1"/>
    <col min="3842" max="3842" width="10.7109375" style="234" customWidth="1"/>
    <col min="3843" max="3843" width="15.5703125" style="234" customWidth="1"/>
    <col min="3844" max="3844" width="4.42578125" style="234" customWidth="1"/>
    <col min="3845" max="3847" width="9.28515625" style="234" customWidth="1"/>
    <col min="3848" max="3848" width="19.7109375" style="234" customWidth="1"/>
    <col min="3849" max="3849" width="14.7109375" style="234" customWidth="1"/>
    <col min="3850" max="3850" width="19.7109375" style="234" customWidth="1"/>
    <col min="3851" max="4096" width="11.5703125" style="234"/>
    <col min="4097" max="4097" width="3.7109375" style="234" customWidth="1"/>
    <col min="4098" max="4098" width="10.7109375" style="234" customWidth="1"/>
    <col min="4099" max="4099" width="15.5703125" style="234" customWidth="1"/>
    <col min="4100" max="4100" width="4.42578125" style="234" customWidth="1"/>
    <col min="4101" max="4103" width="9.28515625" style="234" customWidth="1"/>
    <col min="4104" max="4104" width="19.7109375" style="234" customWidth="1"/>
    <col min="4105" max="4105" width="14.7109375" style="234" customWidth="1"/>
    <col min="4106" max="4106" width="19.7109375" style="234" customWidth="1"/>
    <col min="4107" max="4352" width="11.5703125" style="234"/>
    <col min="4353" max="4353" width="3.7109375" style="234" customWidth="1"/>
    <col min="4354" max="4354" width="10.7109375" style="234" customWidth="1"/>
    <col min="4355" max="4355" width="15.5703125" style="234" customWidth="1"/>
    <col min="4356" max="4356" width="4.42578125" style="234" customWidth="1"/>
    <col min="4357" max="4359" width="9.28515625" style="234" customWidth="1"/>
    <col min="4360" max="4360" width="19.7109375" style="234" customWidth="1"/>
    <col min="4361" max="4361" width="14.7109375" style="234" customWidth="1"/>
    <col min="4362" max="4362" width="19.7109375" style="234" customWidth="1"/>
    <col min="4363" max="4608" width="11.5703125" style="234"/>
    <col min="4609" max="4609" width="3.7109375" style="234" customWidth="1"/>
    <col min="4610" max="4610" width="10.7109375" style="234" customWidth="1"/>
    <col min="4611" max="4611" width="15.5703125" style="234" customWidth="1"/>
    <col min="4612" max="4612" width="4.42578125" style="234" customWidth="1"/>
    <col min="4613" max="4615" width="9.28515625" style="234" customWidth="1"/>
    <col min="4616" max="4616" width="19.7109375" style="234" customWidth="1"/>
    <col min="4617" max="4617" width="14.7109375" style="234" customWidth="1"/>
    <col min="4618" max="4618" width="19.7109375" style="234" customWidth="1"/>
    <col min="4619" max="4864" width="11.5703125" style="234"/>
    <col min="4865" max="4865" width="3.7109375" style="234" customWidth="1"/>
    <col min="4866" max="4866" width="10.7109375" style="234" customWidth="1"/>
    <col min="4867" max="4867" width="15.5703125" style="234" customWidth="1"/>
    <col min="4868" max="4868" width="4.42578125" style="234" customWidth="1"/>
    <col min="4869" max="4871" width="9.28515625" style="234" customWidth="1"/>
    <col min="4872" max="4872" width="19.7109375" style="234" customWidth="1"/>
    <col min="4873" max="4873" width="14.7109375" style="234" customWidth="1"/>
    <col min="4874" max="4874" width="19.7109375" style="234" customWidth="1"/>
    <col min="4875" max="5120" width="11.5703125" style="234"/>
    <col min="5121" max="5121" width="3.7109375" style="234" customWidth="1"/>
    <col min="5122" max="5122" width="10.7109375" style="234" customWidth="1"/>
    <col min="5123" max="5123" width="15.5703125" style="234" customWidth="1"/>
    <col min="5124" max="5124" width="4.42578125" style="234" customWidth="1"/>
    <col min="5125" max="5127" width="9.28515625" style="234" customWidth="1"/>
    <col min="5128" max="5128" width="19.7109375" style="234" customWidth="1"/>
    <col min="5129" max="5129" width="14.7109375" style="234" customWidth="1"/>
    <col min="5130" max="5130" width="19.7109375" style="234" customWidth="1"/>
    <col min="5131" max="5376" width="11.5703125" style="234"/>
    <col min="5377" max="5377" width="3.7109375" style="234" customWidth="1"/>
    <col min="5378" max="5378" width="10.7109375" style="234" customWidth="1"/>
    <col min="5379" max="5379" width="15.5703125" style="234" customWidth="1"/>
    <col min="5380" max="5380" width="4.42578125" style="234" customWidth="1"/>
    <col min="5381" max="5383" width="9.28515625" style="234" customWidth="1"/>
    <col min="5384" max="5384" width="19.7109375" style="234" customWidth="1"/>
    <col min="5385" max="5385" width="14.7109375" style="234" customWidth="1"/>
    <col min="5386" max="5386" width="19.7109375" style="234" customWidth="1"/>
    <col min="5387" max="5632" width="11.5703125" style="234"/>
    <col min="5633" max="5633" width="3.7109375" style="234" customWidth="1"/>
    <col min="5634" max="5634" width="10.7109375" style="234" customWidth="1"/>
    <col min="5635" max="5635" width="15.5703125" style="234" customWidth="1"/>
    <col min="5636" max="5636" width="4.42578125" style="234" customWidth="1"/>
    <col min="5637" max="5639" width="9.28515625" style="234" customWidth="1"/>
    <col min="5640" max="5640" width="19.7109375" style="234" customWidth="1"/>
    <col min="5641" max="5641" width="14.7109375" style="234" customWidth="1"/>
    <col min="5642" max="5642" width="19.7109375" style="234" customWidth="1"/>
    <col min="5643" max="5888" width="11.5703125" style="234"/>
    <col min="5889" max="5889" width="3.7109375" style="234" customWidth="1"/>
    <col min="5890" max="5890" width="10.7109375" style="234" customWidth="1"/>
    <col min="5891" max="5891" width="15.5703125" style="234" customWidth="1"/>
    <col min="5892" max="5892" width="4.42578125" style="234" customWidth="1"/>
    <col min="5893" max="5895" width="9.28515625" style="234" customWidth="1"/>
    <col min="5896" max="5896" width="19.7109375" style="234" customWidth="1"/>
    <col min="5897" max="5897" width="14.7109375" style="234" customWidth="1"/>
    <col min="5898" max="5898" width="19.7109375" style="234" customWidth="1"/>
    <col min="5899" max="6144" width="11.5703125" style="234"/>
    <col min="6145" max="6145" width="3.7109375" style="234" customWidth="1"/>
    <col min="6146" max="6146" width="10.7109375" style="234" customWidth="1"/>
    <col min="6147" max="6147" width="15.5703125" style="234" customWidth="1"/>
    <col min="6148" max="6148" width="4.42578125" style="234" customWidth="1"/>
    <col min="6149" max="6151" width="9.28515625" style="234" customWidth="1"/>
    <col min="6152" max="6152" width="19.7109375" style="234" customWidth="1"/>
    <col min="6153" max="6153" width="14.7109375" style="234" customWidth="1"/>
    <col min="6154" max="6154" width="19.7109375" style="234" customWidth="1"/>
    <col min="6155" max="6400" width="11.5703125" style="234"/>
    <col min="6401" max="6401" width="3.7109375" style="234" customWidth="1"/>
    <col min="6402" max="6402" width="10.7109375" style="234" customWidth="1"/>
    <col min="6403" max="6403" width="15.5703125" style="234" customWidth="1"/>
    <col min="6404" max="6404" width="4.42578125" style="234" customWidth="1"/>
    <col min="6405" max="6407" width="9.28515625" style="234" customWidth="1"/>
    <col min="6408" max="6408" width="19.7109375" style="234" customWidth="1"/>
    <col min="6409" max="6409" width="14.7109375" style="234" customWidth="1"/>
    <col min="6410" max="6410" width="19.7109375" style="234" customWidth="1"/>
    <col min="6411" max="6656" width="11.5703125" style="234"/>
    <col min="6657" max="6657" width="3.7109375" style="234" customWidth="1"/>
    <col min="6658" max="6658" width="10.7109375" style="234" customWidth="1"/>
    <col min="6659" max="6659" width="15.5703125" style="234" customWidth="1"/>
    <col min="6660" max="6660" width="4.42578125" style="234" customWidth="1"/>
    <col min="6661" max="6663" width="9.28515625" style="234" customWidth="1"/>
    <col min="6664" max="6664" width="19.7109375" style="234" customWidth="1"/>
    <col min="6665" max="6665" width="14.7109375" style="234" customWidth="1"/>
    <col min="6666" max="6666" width="19.7109375" style="234" customWidth="1"/>
    <col min="6667" max="6912" width="11.5703125" style="234"/>
    <col min="6913" max="6913" width="3.7109375" style="234" customWidth="1"/>
    <col min="6914" max="6914" width="10.7109375" style="234" customWidth="1"/>
    <col min="6915" max="6915" width="15.5703125" style="234" customWidth="1"/>
    <col min="6916" max="6916" width="4.42578125" style="234" customWidth="1"/>
    <col min="6917" max="6919" width="9.28515625" style="234" customWidth="1"/>
    <col min="6920" max="6920" width="19.7109375" style="234" customWidth="1"/>
    <col min="6921" max="6921" width="14.7109375" style="234" customWidth="1"/>
    <col min="6922" max="6922" width="19.7109375" style="234" customWidth="1"/>
    <col min="6923" max="7168" width="11.5703125" style="234"/>
    <col min="7169" max="7169" width="3.7109375" style="234" customWidth="1"/>
    <col min="7170" max="7170" width="10.7109375" style="234" customWidth="1"/>
    <col min="7171" max="7171" width="15.5703125" style="234" customWidth="1"/>
    <col min="7172" max="7172" width="4.42578125" style="234" customWidth="1"/>
    <col min="7173" max="7175" width="9.28515625" style="234" customWidth="1"/>
    <col min="7176" max="7176" width="19.7109375" style="234" customWidth="1"/>
    <col min="7177" max="7177" width="14.7109375" style="234" customWidth="1"/>
    <col min="7178" max="7178" width="19.7109375" style="234" customWidth="1"/>
    <col min="7179" max="7424" width="11.5703125" style="234"/>
    <col min="7425" max="7425" width="3.7109375" style="234" customWidth="1"/>
    <col min="7426" max="7426" width="10.7109375" style="234" customWidth="1"/>
    <col min="7427" max="7427" width="15.5703125" style="234" customWidth="1"/>
    <col min="7428" max="7428" width="4.42578125" style="234" customWidth="1"/>
    <col min="7429" max="7431" width="9.28515625" style="234" customWidth="1"/>
    <col min="7432" max="7432" width="19.7109375" style="234" customWidth="1"/>
    <col min="7433" max="7433" width="14.7109375" style="234" customWidth="1"/>
    <col min="7434" max="7434" width="19.7109375" style="234" customWidth="1"/>
    <col min="7435" max="7680" width="11.5703125" style="234"/>
    <col min="7681" max="7681" width="3.7109375" style="234" customWidth="1"/>
    <col min="7682" max="7682" width="10.7109375" style="234" customWidth="1"/>
    <col min="7683" max="7683" width="15.5703125" style="234" customWidth="1"/>
    <col min="7684" max="7684" width="4.42578125" style="234" customWidth="1"/>
    <col min="7685" max="7687" width="9.28515625" style="234" customWidth="1"/>
    <col min="7688" max="7688" width="19.7109375" style="234" customWidth="1"/>
    <col min="7689" max="7689" width="14.7109375" style="234" customWidth="1"/>
    <col min="7690" max="7690" width="19.7109375" style="234" customWidth="1"/>
    <col min="7691" max="7936" width="11.5703125" style="234"/>
    <col min="7937" max="7937" width="3.7109375" style="234" customWidth="1"/>
    <col min="7938" max="7938" width="10.7109375" style="234" customWidth="1"/>
    <col min="7939" max="7939" width="15.5703125" style="234" customWidth="1"/>
    <col min="7940" max="7940" width="4.42578125" style="234" customWidth="1"/>
    <col min="7941" max="7943" width="9.28515625" style="234" customWidth="1"/>
    <col min="7944" max="7944" width="19.7109375" style="234" customWidth="1"/>
    <col min="7945" max="7945" width="14.7109375" style="234" customWidth="1"/>
    <col min="7946" max="7946" width="19.7109375" style="234" customWidth="1"/>
    <col min="7947" max="8192" width="11.5703125" style="234"/>
    <col min="8193" max="8193" width="3.7109375" style="234" customWidth="1"/>
    <col min="8194" max="8194" width="10.7109375" style="234" customWidth="1"/>
    <col min="8195" max="8195" width="15.5703125" style="234" customWidth="1"/>
    <col min="8196" max="8196" width="4.42578125" style="234" customWidth="1"/>
    <col min="8197" max="8199" width="9.28515625" style="234" customWidth="1"/>
    <col min="8200" max="8200" width="19.7109375" style="234" customWidth="1"/>
    <col min="8201" max="8201" width="14.7109375" style="234" customWidth="1"/>
    <col min="8202" max="8202" width="19.7109375" style="234" customWidth="1"/>
    <col min="8203" max="8448" width="11.5703125" style="234"/>
    <col min="8449" max="8449" width="3.7109375" style="234" customWidth="1"/>
    <col min="8450" max="8450" width="10.7109375" style="234" customWidth="1"/>
    <col min="8451" max="8451" width="15.5703125" style="234" customWidth="1"/>
    <col min="8452" max="8452" width="4.42578125" style="234" customWidth="1"/>
    <col min="8453" max="8455" width="9.28515625" style="234" customWidth="1"/>
    <col min="8456" max="8456" width="19.7109375" style="234" customWidth="1"/>
    <col min="8457" max="8457" width="14.7109375" style="234" customWidth="1"/>
    <col min="8458" max="8458" width="19.7109375" style="234" customWidth="1"/>
    <col min="8459" max="8704" width="11.5703125" style="234"/>
    <col min="8705" max="8705" width="3.7109375" style="234" customWidth="1"/>
    <col min="8706" max="8706" width="10.7109375" style="234" customWidth="1"/>
    <col min="8707" max="8707" width="15.5703125" style="234" customWidth="1"/>
    <col min="8708" max="8708" width="4.42578125" style="234" customWidth="1"/>
    <col min="8709" max="8711" width="9.28515625" style="234" customWidth="1"/>
    <col min="8712" max="8712" width="19.7109375" style="234" customWidth="1"/>
    <col min="8713" max="8713" width="14.7109375" style="234" customWidth="1"/>
    <col min="8714" max="8714" width="19.7109375" style="234" customWidth="1"/>
    <col min="8715" max="8960" width="11.5703125" style="234"/>
    <col min="8961" max="8961" width="3.7109375" style="234" customWidth="1"/>
    <col min="8962" max="8962" width="10.7109375" style="234" customWidth="1"/>
    <col min="8963" max="8963" width="15.5703125" style="234" customWidth="1"/>
    <col min="8964" max="8964" width="4.42578125" style="234" customWidth="1"/>
    <col min="8965" max="8967" width="9.28515625" style="234" customWidth="1"/>
    <col min="8968" max="8968" width="19.7109375" style="234" customWidth="1"/>
    <col min="8969" max="8969" width="14.7109375" style="234" customWidth="1"/>
    <col min="8970" max="8970" width="19.7109375" style="234" customWidth="1"/>
    <col min="8971" max="9216" width="11.5703125" style="234"/>
    <col min="9217" max="9217" width="3.7109375" style="234" customWidth="1"/>
    <col min="9218" max="9218" width="10.7109375" style="234" customWidth="1"/>
    <col min="9219" max="9219" width="15.5703125" style="234" customWidth="1"/>
    <col min="9220" max="9220" width="4.42578125" style="234" customWidth="1"/>
    <col min="9221" max="9223" width="9.28515625" style="234" customWidth="1"/>
    <col min="9224" max="9224" width="19.7109375" style="234" customWidth="1"/>
    <col min="9225" max="9225" width="14.7109375" style="234" customWidth="1"/>
    <col min="9226" max="9226" width="19.7109375" style="234" customWidth="1"/>
    <col min="9227" max="9472" width="11.5703125" style="234"/>
    <col min="9473" max="9473" width="3.7109375" style="234" customWidth="1"/>
    <col min="9474" max="9474" width="10.7109375" style="234" customWidth="1"/>
    <col min="9475" max="9475" width="15.5703125" style="234" customWidth="1"/>
    <col min="9476" max="9476" width="4.42578125" style="234" customWidth="1"/>
    <col min="9477" max="9479" width="9.28515625" style="234" customWidth="1"/>
    <col min="9480" max="9480" width="19.7109375" style="234" customWidth="1"/>
    <col min="9481" max="9481" width="14.7109375" style="234" customWidth="1"/>
    <col min="9482" max="9482" width="19.7109375" style="234" customWidth="1"/>
    <col min="9483" max="9728" width="11.5703125" style="234"/>
    <col min="9729" max="9729" width="3.7109375" style="234" customWidth="1"/>
    <col min="9730" max="9730" width="10.7109375" style="234" customWidth="1"/>
    <col min="9731" max="9731" width="15.5703125" style="234" customWidth="1"/>
    <col min="9732" max="9732" width="4.42578125" style="234" customWidth="1"/>
    <col min="9733" max="9735" width="9.28515625" style="234" customWidth="1"/>
    <col min="9736" max="9736" width="19.7109375" style="234" customWidth="1"/>
    <col min="9737" max="9737" width="14.7109375" style="234" customWidth="1"/>
    <col min="9738" max="9738" width="19.7109375" style="234" customWidth="1"/>
    <col min="9739" max="9984" width="11.5703125" style="234"/>
    <col min="9985" max="9985" width="3.7109375" style="234" customWidth="1"/>
    <col min="9986" max="9986" width="10.7109375" style="234" customWidth="1"/>
    <col min="9987" max="9987" width="15.5703125" style="234" customWidth="1"/>
    <col min="9988" max="9988" width="4.42578125" style="234" customWidth="1"/>
    <col min="9989" max="9991" width="9.28515625" style="234" customWidth="1"/>
    <col min="9992" max="9992" width="19.7109375" style="234" customWidth="1"/>
    <col min="9993" max="9993" width="14.7109375" style="234" customWidth="1"/>
    <col min="9994" max="9994" width="19.7109375" style="234" customWidth="1"/>
    <col min="9995" max="10240" width="11.5703125" style="234"/>
    <col min="10241" max="10241" width="3.7109375" style="234" customWidth="1"/>
    <col min="10242" max="10242" width="10.7109375" style="234" customWidth="1"/>
    <col min="10243" max="10243" width="15.5703125" style="234" customWidth="1"/>
    <col min="10244" max="10244" width="4.42578125" style="234" customWidth="1"/>
    <col min="10245" max="10247" width="9.28515625" style="234" customWidth="1"/>
    <col min="10248" max="10248" width="19.7109375" style="234" customWidth="1"/>
    <col min="10249" max="10249" width="14.7109375" style="234" customWidth="1"/>
    <col min="10250" max="10250" width="19.7109375" style="234" customWidth="1"/>
    <col min="10251" max="10496" width="11.5703125" style="234"/>
    <col min="10497" max="10497" width="3.7109375" style="234" customWidth="1"/>
    <col min="10498" max="10498" width="10.7109375" style="234" customWidth="1"/>
    <col min="10499" max="10499" width="15.5703125" style="234" customWidth="1"/>
    <col min="10500" max="10500" width="4.42578125" style="234" customWidth="1"/>
    <col min="10501" max="10503" width="9.28515625" style="234" customWidth="1"/>
    <col min="10504" max="10504" width="19.7109375" style="234" customWidth="1"/>
    <col min="10505" max="10505" width="14.7109375" style="234" customWidth="1"/>
    <col min="10506" max="10506" width="19.7109375" style="234" customWidth="1"/>
    <col min="10507" max="10752" width="11.5703125" style="234"/>
    <col min="10753" max="10753" width="3.7109375" style="234" customWidth="1"/>
    <col min="10754" max="10754" width="10.7109375" style="234" customWidth="1"/>
    <col min="10755" max="10755" width="15.5703125" style="234" customWidth="1"/>
    <col min="10756" max="10756" width="4.42578125" style="234" customWidth="1"/>
    <col min="10757" max="10759" width="9.28515625" style="234" customWidth="1"/>
    <col min="10760" max="10760" width="19.7109375" style="234" customWidth="1"/>
    <col min="10761" max="10761" width="14.7109375" style="234" customWidth="1"/>
    <col min="10762" max="10762" width="19.7109375" style="234" customWidth="1"/>
    <col min="10763" max="11008" width="11.5703125" style="234"/>
    <col min="11009" max="11009" width="3.7109375" style="234" customWidth="1"/>
    <col min="11010" max="11010" width="10.7109375" style="234" customWidth="1"/>
    <col min="11011" max="11011" width="15.5703125" style="234" customWidth="1"/>
    <col min="11012" max="11012" width="4.42578125" style="234" customWidth="1"/>
    <col min="11013" max="11015" width="9.28515625" style="234" customWidth="1"/>
    <col min="11016" max="11016" width="19.7109375" style="234" customWidth="1"/>
    <col min="11017" max="11017" width="14.7109375" style="234" customWidth="1"/>
    <col min="11018" max="11018" width="19.7109375" style="234" customWidth="1"/>
    <col min="11019" max="11264" width="11.5703125" style="234"/>
    <col min="11265" max="11265" width="3.7109375" style="234" customWidth="1"/>
    <col min="11266" max="11266" width="10.7109375" style="234" customWidth="1"/>
    <col min="11267" max="11267" width="15.5703125" style="234" customWidth="1"/>
    <col min="11268" max="11268" width="4.42578125" style="234" customWidth="1"/>
    <col min="11269" max="11271" width="9.28515625" style="234" customWidth="1"/>
    <col min="11272" max="11272" width="19.7109375" style="234" customWidth="1"/>
    <col min="11273" max="11273" width="14.7109375" style="234" customWidth="1"/>
    <col min="11274" max="11274" width="19.7109375" style="234" customWidth="1"/>
    <col min="11275" max="11520" width="11.5703125" style="234"/>
    <col min="11521" max="11521" width="3.7109375" style="234" customWidth="1"/>
    <col min="11522" max="11522" width="10.7109375" style="234" customWidth="1"/>
    <col min="11523" max="11523" width="15.5703125" style="234" customWidth="1"/>
    <col min="11524" max="11524" width="4.42578125" style="234" customWidth="1"/>
    <col min="11525" max="11527" width="9.28515625" style="234" customWidth="1"/>
    <col min="11528" max="11528" width="19.7109375" style="234" customWidth="1"/>
    <col min="11529" max="11529" width="14.7109375" style="234" customWidth="1"/>
    <col min="11530" max="11530" width="19.7109375" style="234" customWidth="1"/>
    <col min="11531" max="11776" width="11.5703125" style="234"/>
    <col min="11777" max="11777" width="3.7109375" style="234" customWidth="1"/>
    <col min="11778" max="11778" width="10.7109375" style="234" customWidth="1"/>
    <col min="11779" max="11779" width="15.5703125" style="234" customWidth="1"/>
    <col min="11780" max="11780" width="4.42578125" style="234" customWidth="1"/>
    <col min="11781" max="11783" width="9.28515625" style="234" customWidth="1"/>
    <col min="11784" max="11784" width="19.7109375" style="234" customWidth="1"/>
    <col min="11785" max="11785" width="14.7109375" style="234" customWidth="1"/>
    <col min="11786" max="11786" width="19.7109375" style="234" customWidth="1"/>
    <col min="11787" max="12032" width="11.5703125" style="234"/>
    <col min="12033" max="12033" width="3.7109375" style="234" customWidth="1"/>
    <col min="12034" max="12034" width="10.7109375" style="234" customWidth="1"/>
    <col min="12035" max="12035" width="15.5703125" style="234" customWidth="1"/>
    <col min="12036" max="12036" width="4.42578125" style="234" customWidth="1"/>
    <col min="12037" max="12039" width="9.28515625" style="234" customWidth="1"/>
    <col min="12040" max="12040" width="19.7109375" style="234" customWidth="1"/>
    <col min="12041" max="12041" width="14.7109375" style="234" customWidth="1"/>
    <col min="12042" max="12042" width="19.7109375" style="234" customWidth="1"/>
    <col min="12043" max="12288" width="11.5703125" style="234"/>
    <col min="12289" max="12289" width="3.7109375" style="234" customWidth="1"/>
    <col min="12290" max="12290" width="10.7109375" style="234" customWidth="1"/>
    <col min="12291" max="12291" width="15.5703125" style="234" customWidth="1"/>
    <col min="12292" max="12292" width="4.42578125" style="234" customWidth="1"/>
    <col min="12293" max="12295" width="9.28515625" style="234" customWidth="1"/>
    <col min="12296" max="12296" width="19.7109375" style="234" customWidth="1"/>
    <col min="12297" max="12297" width="14.7109375" style="234" customWidth="1"/>
    <col min="12298" max="12298" width="19.7109375" style="234" customWidth="1"/>
    <col min="12299" max="12544" width="11.5703125" style="234"/>
    <col min="12545" max="12545" width="3.7109375" style="234" customWidth="1"/>
    <col min="12546" max="12546" width="10.7109375" style="234" customWidth="1"/>
    <col min="12547" max="12547" width="15.5703125" style="234" customWidth="1"/>
    <col min="12548" max="12548" width="4.42578125" style="234" customWidth="1"/>
    <col min="12549" max="12551" width="9.28515625" style="234" customWidth="1"/>
    <col min="12552" max="12552" width="19.7109375" style="234" customWidth="1"/>
    <col min="12553" max="12553" width="14.7109375" style="234" customWidth="1"/>
    <col min="12554" max="12554" width="19.7109375" style="234" customWidth="1"/>
    <col min="12555" max="12800" width="11.5703125" style="234"/>
    <col min="12801" max="12801" width="3.7109375" style="234" customWidth="1"/>
    <col min="12802" max="12802" width="10.7109375" style="234" customWidth="1"/>
    <col min="12803" max="12803" width="15.5703125" style="234" customWidth="1"/>
    <col min="12804" max="12804" width="4.42578125" style="234" customWidth="1"/>
    <col min="12805" max="12807" width="9.28515625" style="234" customWidth="1"/>
    <col min="12808" max="12808" width="19.7109375" style="234" customWidth="1"/>
    <col min="12809" max="12809" width="14.7109375" style="234" customWidth="1"/>
    <col min="12810" max="12810" width="19.7109375" style="234" customWidth="1"/>
    <col min="12811" max="13056" width="11.5703125" style="234"/>
    <col min="13057" max="13057" width="3.7109375" style="234" customWidth="1"/>
    <col min="13058" max="13058" width="10.7109375" style="234" customWidth="1"/>
    <col min="13059" max="13059" width="15.5703125" style="234" customWidth="1"/>
    <col min="13060" max="13060" width="4.42578125" style="234" customWidth="1"/>
    <col min="13061" max="13063" width="9.28515625" style="234" customWidth="1"/>
    <col min="13064" max="13064" width="19.7109375" style="234" customWidth="1"/>
    <col min="13065" max="13065" width="14.7109375" style="234" customWidth="1"/>
    <col min="13066" max="13066" width="19.7109375" style="234" customWidth="1"/>
    <col min="13067" max="13312" width="11.5703125" style="234"/>
    <col min="13313" max="13313" width="3.7109375" style="234" customWidth="1"/>
    <col min="13314" max="13314" width="10.7109375" style="234" customWidth="1"/>
    <col min="13315" max="13315" width="15.5703125" style="234" customWidth="1"/>
    <col min="13316" max="13316" width="4.42578125" style="234" customWidth="1"/>
    <col min="13317" max="13319" width="9.28515625" style="234" customWidth="1"/>
    <col min="13320" max="13320" width="19.7109375" style="234" customWidth="1"/>
    <col min="13321" max="13321" width="14.7109375" style="234" customWidth="1"/>
    <col min="13322" max="13322" width="19.7109375" style="234" customWidth="1"/>
    <col min="13323" max="13568" width="11.5703125" style="234"/>
    <col min="13569" max="13569" width="3.7109375" style="234" customWidth="1"/>
    <col min="13570" max="13570" width="10.7109375" style="234" customWidth="1"/>
    <col min="13571" max="13571" width="15.5703125" style="234" customWidth="1"/>
    <col min="13572" max="13572" width="4.42578125" style="234" customWidth="1"/>
    <col min="13573" max="13575" width="9.28515625" style="234" customWidth="1"/>
    <col min="13576" max="13576" width="19.7109375" style="234" customWidth="1"/>
    <col min="13577" max="13577" width="14.7109375" style="234" customWidth="1"/>
    <col min="13578" max="13578" width="19.7109375" style="234" customWidth="1"/>
    <col min="13579" max="13824" width="11.5703125" style="234"/>
    <col min="13825" max="13825" width="3.7109375" style="234" customWidth="1"/>
    <col min="13826" max="13826" width="10.7109375" style="234" customWidth="1"/>
    <col min="13827" max="13827" width="15.5703125" style="234" customWidth="1"/>
    <col min="13828" max="13828" width="4.42578125" style="234" customWidth="1"/>
    <col min="13829" max="13831" width="9.28515625" style="234" customWidth="1"/>
    <col min="13832" max="13832" width="19.7109375" style="234" customWidth="1"/>
    <col min="13833" max="13833" width="14.7109375" style="234" customWidth="1"/>
    <col min="13834" max="13834" width="19.7109375" style="234" customWidth="1"/>
    <col min="13835" max="14080" width="11.5703125" style="234"/>
    <col min="14081" max="14081" width="3.7109375" style="234" customWidth="1"/>
    <col min="14082" max="14082" width="10.7109375" style="234" customWidth="1"/>
    <col min="14083" max="14083" width="15.5703125" style="234" customWidth="1"/>
    <col min="14084" max="14084" width="4.42578125" style="234" customWidth="1"/>
    <col min="14085" max="14087" width="9.28515625" style="234" customWidth="1"/>
    <col min="14088" max="14088" width="19.7109375" style="234" customWidth="1"/>
    <col min="14089" max="14089" width="14.7109375" style="234" customWidth="1"/>
    <col min="14090" max="14090" width="19.7109375" style="234" customWidth="1"/>
    <col min="14091" max="14336" width="11.5703125" style="234"/>
    <col min="14337" max="14337" width="3.7109375" style="234" customWidth="1"/>
    <col min="14338" max="14338" width="10.7109375" style="234" customWidth="1"/>
    <col min="14339" max="14339" width="15.5703125" style="234" customWidth="1"/>
    <col min="14340" max="14340" width="4.42578125" style="234" customWidth="1"/>
    <col min="14341" max="14343" width="9.28515625" style="234" customWidth="1"/>
    <col min="14344" max="14344" width="19.7109375" style="234" customWidth="1"/>
    <col min="14345" max="14345" width="14.7109375" style="234" customWidth="1"/>
    <col min="14346" max="14346" width="19.7109375" style="234" customWidth="1"/>
    <col min="14347" max="14592" width="11.5703125" style="234"/>
    <col min="14593" max="14593" width="3.7109375" style="234" customWidth="1"/>
    <col min="14594" max="14594" width="10.7109375" style="234" customWidth="1"/>
    <col min="14595" max="14595" width="15.5703125" style="234" customWidth="1"/>
    <col min="14596" max="14596" width="4.42578125" style="234" customWidth="1"/>
    <col min="14597" max="14599" width="9.28515625" style="234" customWidth="1"/>
    <col min="14600" max="14600" width="19.7109375" style="234" customWidth="1"/>
    <col min="14601" max="14601" width="14.7109375" style="234" customWidth="1"/>
    <col min="14602" max="14602" width="19.7109375" style="234" customWidth="1"/>
    <col min="14603" max="14848" width="11.5703125" style="234"/>
    <col min="14849" max="14849" width="3.7109375" style="234" customWidth="1"/>
    <col min="14850" max="14850" width="10.7109375" style="234" customWidth="1"/>
    <col min="14851" max="14851" width="15.5703125" style="234" customWidth="1"/>
    <col min="14852" max="14852" width="4.42578125" style="234" customWidth="1"/>
    <col min="14853" max="14855" width="9.28515625" style="234" customWidth="1"/>
    <col min="14856" max="14856" width="19.7109375" style="234" customWidth="1"/>
    <col min="14857" max="14857" width="14.7109375" style="234" customWidth="1"/>
    <col min="14858" max="14858" width="19.7109375" style="234" customWidth="1"/>
    <col min="14859" max="15104" width="11.5703125" style="234"/>
    <col min="15105" max="15105" width="3.7109375" style="234" customWidth="1"/>
    <col min="15106" max="15106" width="10.7109375" style="234" customWidth="1"/>
    <col min="15107" max="15107" width="15.5703125" style="234" customWidth="1"/>
    <col min="15108" max="15108" width="4.42578125" style="234" customWidth="1"/>
    <col min="15109" max="15111" width="9.28515625" style="234" customWidth="1"/>
    <col min="15112" max="15112" width="19.7109375" style="234" customWidth="1"/>
    <col min="15113" max="15113" width="14.7109375" style="234" customWidth="1"/>
    <col min="15114" max="15114" width="19.7109375" style="234" customWidth="1"/>
    <col min="15115" max="15360" width="11.5703125" style="234"/>
    <col min="15361" max="15361" width="3.7109375" style="234" customWidth="1"/>
    <col min="15362" max="15362" width="10.7109375" style="234" customWidth="1"/>
    <col min="15363" max="15363" width="15.5703125" style="234" customWidth="1"/>
    <col min="15364" max="15364" width="4.42578125" style="234" customWidth="1"/>
    <col min="15365" max="15367" width="9.28515625" style="234" customWidth="1"/>
    <col min="15368" max="15368" width="19.7109375" style="234" customWidth="1"/>
    <col min="15369" max="15369" width="14.7109375" style="234" customWidth="1"/>
    <col min="15370" max="15370" width="19.7109375" style="234" customWidth="1"/>
    <col min="15371" max="15616" width="11.5703125" style="234"/>
    <col min="15617" max="15617" width="3.7109375" style="234" customWidth="1"/>
    <col min="15618" max="15618" width="10.7109375" style="234" customWidth="1"/>
    <col min="15619" max="15619" width="15.5703125" style="234" customWidth="1"/>
    <col min="15620" max="15620" width="4.42578125" style="234" customWidth="1"/>
    <col min="15621" max="15623" width="9.28515625" style="234" customWidth="1"/>
    <col min="15624" max="15624" width="19.7109375" style="234" customWidth="1"/>
    <col min="15625" max="15625" width="14.7109375" style="234" customWidth="1"/>
    <col min="15626" max="15626" width="19.7109375" style="234" customWidth="1"/>
    <col min="15627" max="15872" width="11.5703125" style="234"/>
    <col min="15873" max="15873" width="3.7109375" style="234" customWidth="1"/>
    <col min="15874" max="15874" width="10.7109375" style="234" customWidth="1"/>
    <col min="15875" max="15875" width="15.5703125" style="234" customWidth="1"/>
    <col min="15876" max="15876" width="4.42578125" style="234" customWidth="1"/>
    <col min="15877" max="15879" width="9.28515625" style="234" customWidth="1"/>
    <col min="15880" max="15880" width="19.7109375" style="234" customWidth="1"/>
    <col min="15881" max="15881" width="14.7109375" style="234" customWidth="1"/>
    <col min="15882" max="15882" width="19.7109375" style="234" customWidth="1"/>
    <col min="15883" max="16128" width="11.5703125" style="234"/>
    <col min="16129" max="16129" width="3.7109375" style="234" customWidth="1"/>
    <col min="16130" max="16130" width="10.7109375" style="234" customWidth="1"/>
    <col min="16131" max="16131" width="15.5703125" style="234" customWidth="1"/>
    <col min="16132" max="16132" width="4.42578125" style="234" customWidth="1"/>
    <col min="16133" max="16135" width="9.28515625" style="234" customWidth="1"/>
    <col min="16136" max="16136" width="19.7109375" style="234" customWidth="1"/>
    <col min="16137" max="16137" width="14.7109375" style="234" customWidth="1"/>
    <col min="16138" max="16138" width="19.7109375" style="234" customWidth="1"/>
    <col min="16139" max="16384" width="11.5703125" style="234"/>
  </cols>
  <sheetData>
    <row r="1" spans="1:9" ht="63.75" customHeight="1" x14ac:dyDescent="0.2">
      <c r="A1" s="498" t="s">
        <v>372</v>
      </c>
      <c r="B1" s="498"/>
      <c r="C1" s="498"/>
      <c r="D1" s="499" t="s">
        <v>383</v>
      </c>
      <c r="E1" s="499"/>
      <c r="F1" s="499"/>
      <c r="G1" s="499"/>
      <c r="H1" s="499"/>
      <c r="I1" s="499"/>
    </row>
    <row r="2" spans="1:9" s="237" customFormat="1" x14ac:dyDescent="0.2">
      <c r="A2" s="235"/>
      <c r="B2" s="235"/>
      <c r="C2" s="235"/>
      <c r="D2" s="236"/>
      <c r="E2" s="236"/>
      <c r="F2" s="236"/>
      <c r="G2" s="236"/>
      <c r="H2" s="236"/>
      <c r="I2" s="236"/>
    </row>
    <row r="3" spans="1:9" x14ac:dyDescent="0.2">
      <c r="A3" s="500" t="s">
        <v>363</v>
      </c>
      <c r="B3" s="500"/>
      <c r="C3" s="500"/>
      <c r="D3" s="500"/>
      <c r="E3" s="500"/>
      <c r="F3" s="500"/>
      <c r="G3" s="500"/>
      <c r="H3" s="500"/>
      <c r="I3" s="500"/>
    </row>
    <row r="4" spans="1:9" x14ac:dyDescent="0.2">
      <c r="A4" s="501" t="s">
        <v>332</v>
      </c>
      <c r="B4" s="501"/>
      <c r="C4" s="501"/>
      <c r="D4" s="501"/>
      <c r="E4" s="501"/>
      <c r="F4" s="501"/>
      <c r="G4" s="501"/>
      <c r="H4" s="501"/>
      <c r="I4" s="501"/>
    </row>
    <row r="5" spans="1:9" ht="3.75" customHeight="1" x14ac:dyDescent="0.2">
      <c r="D5" s="235"/>
      <c r="E5" s="235"/>
      <c r="F5" s="235"/>
      <c r="G5" s="235"/>
    </row>
    <row r="6" spans="1:9" ht="66" customHeight="1" x14ac:dyDescent="0.2">
      <c r="A6" s="502" t="s">
        <v>333</v>
      </c>
      <c r="B6" s="502"/>
      <c r="C6" s="502"/>
      <c r="D6" s="503" t="s">
        <v>401</v>
      </c>
      <c r="E6" s="503"/>
      <c r="F6" s="503"/>
      <c r="G6" s="503"/>
      <c r="H6" s="503"/>
      <c r="I6" s="503"/>
    </row>
    <row r="7" spans="1:9" ht="3.95" customHeight="1" x14ac:dyDescent="0.2">
      <c r="A7" s="239"/>
      <c r="B7" s="239"/>
      <c r="C7" s="239"/>
    </row>
    <row r="8" spans="1:9" ht="41.25" customHeight="1" x14ac:dyDescent="0.2">
      <c r="A8" s="460" t="s">
        <v>334</v>
      </c>
      <c r="B8" s="460"/>
      <c r="C8" s="460"/>
      <c r="D8" s="460"/>
      <c r="E8" s="460"/>
      <c r="F8" s="460"/>
      <c r="G8" s="460"/>
      <c r="H8" s="460"/>
      <c r="I8" s="460"/>
    </row>
    <row r="9" spans="1:9" ht="3.95" customHeight="1" x14ac:dyDescent="0.2"/>
    <row r="10" spans="1:9" ht="30" customHeight="1" x14ac:dyDescent="0.2">
      <c r="A10" s="460" t="s">
        <v>335</v>
      </c>
      <c r="B10" s="460"/>
      <c r="C10" s="460"/>
      <c r="D10" s="460"/>
      <c r="E10" s="460"/>
      <c r="F10" s="460"/>
      <c r="G10" s="460"/>
      <c r="H10" s="460"/>
      <c r="I10" s="460"/>
    </row>
    <row r="11" spans="1:9" ht="3.75" customHeight="1" x14ac:dyDescent="0.2">
      <c r="A11" s="240"/>
      <c r="B11" s="240"/>
      <c r="C11" s="240"/>
      <c r="D11" s="241"/>
      <c r="E11" s="241"/>
      <c r="F11" s="241"/>
      <c r="G11" s="241"/>
      <c r="H11" s="240"/>
      <c r="I11" s="240"/>
    </row>
    <row r="12" spans="1:9" ht="12.75" customHeight="1" x14ac:dyDescent="0.2">
      <c r="A12" s="494" t="s">
        <v>402</v>
      </c>
      <c r="B12" s="494"/>
      <c r="C12" s="494"/>
      <c r="D12" s="494"/>
      <c r="E12" s="494"/>
      <c r="F12" s="494"/>
      <c r="G12" s="494"/>
      <c r="H12" s="494"/>
      <c r="I12" s="494"/>
    </row>
    <row r="13" spans="1:9" ht="100.5" customHeight="1" x14ac:dyDescent="0.2">
      <c r="A13" s="242" t="s">
        <v>336</v>
      </c>
      <c r="B13" s="495" t="s">
        <v>337</v>
      </c>
      <c r="C13" s="496"/>
      <c r="D13" s="495" t="s">
        <v>338</v>
      </c>
      <c r="E13" s="497"/>
      <c r="F13" s="497"/>
      <c r="G13" s="496"/>
      <c r="H13" s="243" t="s">
        <v>339</v>
      </c>
      <c r="I13" s="242" t="s">
        <v>35</v>
      </c>
    </row>
    <row r="14" spans="1:9" x14ac:dyDescent="0.2">
      <c r="A14" s="244" t="s">
        <v>219</v>
      </c>
      <c r="B14" s="491">
        <v>2</v>
      </c>
      <c r="C14" s="492"/>
      <c r="D14" s="491">
        <v>3</v>
      </c>
      <c r="E14" s="493"/>
      <c r="F14" s="493"/>
      <c r="G14" s="492"/>
      <c r="H14" s="245">
        <v>4</v>
      </c>
      <c r="I14" s="245">
        <v>5</v>
      </c>
    </row>
    <row r="15" spans="1:9" ht="145.35" customHeight="1" x14ac:dyDescent="0.2">
      <c r="A15" s="261" t="s">
        <v>219</v>
      </c>
      <c r="B15" s="478" t="s">
        <v>373</v>
      </c>
      <c r="C15" s="479"/>
      <c r="D15" s="480" t="s">
        <v>384</v>
      </c>
      <c r="E15" s="481"/>
      <c r="F15" s="481"/>
      <c r="G15" s="482"/>
      <c r="H15" s="263" t="s">
        <v>403</v>
      </c>
      <c r="I15" s="265">
        <f>ROUND((45745  + 139  * (0.4 * 200 + 0.6 * 200 / 2)) * 1 * 0.4 * 6.1 * 0.7,0)</f>
        <v>111370</v>
      </c>
    </row>
    <row r="16" spans="1:9" ht="15.75" customHeight="1" x14ac:dyDescent="0.2">
      <c r="A16" s="246" t="s">
        <v>340</v>
      </c>
      <c r="B16" s="483" t="s">
        <v>341</v>
      </c>
      <c r="C16" s="484"/>
      <c r="D16" s="483"/>
      <c r="E16" s="485"/>
      <c r="F16" s="485"/>
      <c r="G16" s="484"/>
      <c r="H16" s="247"/>
      <c r="I16" s="248"/>
    </row>
    <row r="17" spans="1:9" ht="25.5" customHeight="1" x14ac:dyDescent="0.2">
      <c r="A17" s="249" t="s">
        <v>340</v>
      </c>
      <c r="B17" s="475" t="s">
        <v>342</v>
      </c>
      <c r="C17" s="476"/>
      <c r="D17" s="475" t="s">
        <v>343</v>
      </c>
      <c r="E17" s="477"/>
      <c r="F17" s="477"/>
      <c r="G17" s="476"/>
      <c r="H17" s="250"/>
      <c r="I17" s="251"/>
    </row>
    <row r="18" spans="1:9" ht="12.75" customHeight="1" x14ac:dyDescent="0.2">
      <c r="A18" s="249" t="s">
        <v>340</v>
      </c>
      <c r="B18" s="475" t="s">
        <v>344</v>
      </c>
      <c r="C18" s="476"/>
      <c r="D18" s="475" t="s">
        <v>404</v>
      </c>
      <c r="E18" s="477"/>
      <c r="F18" s="477"/>
      <c r="G18" s="476"/>
      <c r="H18" s="250"/>
      <c r="I18" s="251"/>
    </row>
    <row r="19" spans="1:9" ht="76.5" customHeight="1" x14ac:dyDescent="0.2">
      <c r="A19" s="252" t="s">
        <v>340</v>
      </c>
      <c r="B19" s="469" t="s">
        <v>385</v>
      </c>
      <c r="C19" s="470"/>
      <c r="D19" s="469" t="s">
        <v>386</v>
      </c>
      <c r="E19" s="471"/>
      <c r="F19" s="471"/>
      <c r="G19" s="470"/>
      <c r="H19" s="253"/>
      <c r="I19" s="254"/>
    </row>
    <row r="20" spans="1:9" ht="107.1" customHeight="1" x14ac:dyDescent="0.2">
      <c r="A20" s="262" t="s">
        <v>222</v>
      </c>
      <c r="B20" s="486" t="s">
        <v>405</v>
      </c>
      <c r="C20" s="487"/>
      <c r="D20" s="488" t="s">
        <v>406</v>
      </c>
      <c r="E20" s="489"/>
      <c r="F20" s="489"/>
      <c r="G20" s="490"/>
      <c r="H20" s="264" t="s">
        <v>407</v>
      </c>
      <c r="I20" s="266">
        <f>ROUND((154775  + 21429  * 12.29) * 1 * 0.4 * 6.1,0)</f>
        <v>1020255</v>
      </c>
    </row>
    <row r="21" spans="1:9" ht="15.75" customHeight="1" x14ac:dyDescent="0.2">
      <c r="A21" s="246" t="s">
        <v>340</v>
      </c>
      <c r="B21" s="483" t="s">
        <v>341</v>
      </c>
      <c r="C21" s="484"/>
      <c r="D21" s="483"/>
      <c r="E21" s="485"/>
      <c r="F21" s="485"/>
      <c r="G21" s="484"/>
      <c r="H21" s="247"/>
      <c r="I21" s="248"/>
    </row>
    <row r="22" spans="1:9" ht="25.5" customHeight="1" x14ac:dyDescent="0.2">
      <c r="A22" s="249" t="s">
        <v>340</v>
      </c>
      <c r="B22" s="475" t="s">
        <v>342</v>
      </c>
      <c r="C22" s="476"/>
      <c r="D22" s="475" t="s">
        <v>343</v>
      </c>
      <c r="E22" s="477"/>
      <c r="F22" s="477"/>
      <c r="G22" s="476"/>
      <c r="H22" s="250"/>
      <c r="I22" s="251"/>
    </row>
    <row r="23" spans="1:9" ht="12.75" customHeight="1" x14ac:dyDescent="0.2">
      <c r="A23" s="252" t="s">
        <v>340</v>
      </c>
      <c r="B23" s="469" t="s">
        <v>344</v>
      </c>
      <c r="C23" s="470"/>
      <c r="D23" s="469" t="s">
        <v>404</v>
      </c>
      <c r="E23" s="471"/>
      <c r="F23" s="471"/>
      <c r="G23" s="470"/>
      <c r="H23" s="253"/>
      <c r="I23" s="254"/>
    </row>
    <row r="24" spans="1:9" ht="107.1" customHeight="1" x14ac:dyDescent="0.2">
      <c r="A24" s="262" t="s">
        <v>226</v>
      </c>
      <c r="B24" s="486" t="s">
        <v>408</v>
      </c>
      <c r="C24" s="487"/>
      <c r="D24" s="488" t="s">
        <v>409</v>
      </c>
      <c r="E24" s="489"/>
      <c r="F24" s="489"/>
      <c r="G24" s="490"/>
      <c r="H24" s="264" t="s">
        <v>410</v>
      </c>
      <c r="I24" s="266">
        <f>ROUND((114205 + 25486  * 7.35) * 1 * 0.4 * 6.1,0)</f>
        <v>735726</v>
      </c>
    </row>
    <row r="25" spans="1:9" ht="15.75" customHeight="1" x14ac:dyDescent="0.2">
      <c r="A25" s="246" t="s">
        <v>340</v>
      </c>
      <c r="B25" s="483" t="s">
        <v>341</v>
      </c>
      <c r="C25" s="484"/>
      <c r="D25" s="483"/>
      <c r="E25" s="485"/>
      <c r="F25" s="485"/>
      <c r="G25" s="484"/>
      <c r="H25" s="247"/>
      <c r="I25" s="248"/>
    </row>
    <row r="26" spans="1:9" ht="25.5" customHeight="1" x14ac:dyDescent="0.2">
      <c r="A26" s="249" t="s">
        <v>340</v>
      </c>
      <c r="B26" s="475" t="s">
        <v>342</v>
      </c>
      <c r="C26" s="476"/>
      <c r="D26" s="475" t="s">
        <v>343</v>
      </c>
      <c r="E26" s="477"/>
      <c r="F26" s="477"/>
      <c r="G26" s="476"/>
      <c r="H26" s="250"/>
      <c r="I26" s="251"/>
    </row>
    <row r="27" spans="1:9" ht="12.75" customHeight="1" x14ac:dyDescent="0.2">
      <c r="A27" s="252" t="s">
        <v>340</v>
      </c>
      <c r="B27" s="469" t="s">
        <v>344</v>
      </c>
      <c r="C27" s="470"/>
      <c r="D27" s="469" t="s">
        <v>404</v>
      </c>
      <c r="E27" s="471"/>
      <c r="F27" s="471"/>
      <c r="G27" s="470"/>
      <c r="H27" s="253"/>
      <c r="I27" s="254"/>
    </row>
    <row r="28" spans="1:9" ht="107.1" customHeight="1" x14ac:dyDescent="0.2">
      <c r="A28" s="262" t="s">
        <v>231</v>
      </c>
      <c r="B28" s="486" t="s">
        <v>411</v>
      </c>
      <c r="C28" s="487"/>
      <c r="D28" s="488" t="s">
        <v>412</v>
      </c>
      <c r="E28" s="489"/>
      <c r="F28" s="489"/>
      <c r="G28" s="490"/>
      <c r="H28" s="264" t="s">
        <v>413</v>
      </c>
      <c r="I28" s="266">
        <f>ROUND((101469  + 28670  * 3.5) * 1 * 0.4 * 6.1 * 0.9,0)</f>
        <v>443184</v>
      </c>
    </row>
    <row r="29" spans="1:9" ht="15.75" customHeight="1" x14ac:dyDescent="0.2">
      <c r="A29" s="246" t="s">
        <v>340</v>
      </c>
      <c r="B29" s="483" t="s">
        <v>341</v>
      </c>
      <c r="C29" s="484"/>
      <c r="D29" s="483"/>
      <c r="E29" s="485"/>
      <c r="F29" s="485"/>
      <c r="G29" s="484"/>
      <c r="H29" s="247"/>
      <c r="I29" s="248"/>
    </row>
    <row r="30" spans="1:9" ht="25.5" customHeight="1" x14ac:dyDescent="0.2">
      <c r="A30" s="249" t="s">
        <v>340</v>
      </c>
      <c r="B30" s="475" t="s">
        <v>342</v>
      </c>
      <c r="C30" s="476"/>
      <c r="D30" s="475" t="s">
        <v>343</v>
      </c>
      <c r="E30" s="477"/>
      <c r="F30" s="477"/>
      <c r="G30" s="476"/>
      <c r="H30" s="250"/>
      <c r="I30" s="251"/>
    </row>
    <row r="31" spans="1:9" ht="12.75" customHeight="1" x14ac:dyDescent="0.2">
      <c r="A31" s="249" t="s">
        <v>340</v>
      </c>
      <c r="B31" s="475" t="s">
        <v>344</v>
      </c>
      <c r="C31" s="476"/>
      <c r="D31" s="475" t="s">
        <v>404</v>
      </c>
      <c r="E31" s="477"/>
      <c r="F31" s="477"/>
      <c r="G31" s="476"/>
      <c r="H31" s="250"/>
      <c r="I31" s="251"/>
    </row>
    <row r="32" spans="1:9" ht="63.75" customHeight="1" x14ac:dyDescent="0.2">
      <c r="A32" s="252" t="s">
        <v>340</v>
      </c>
      <c r="B32" s="469" t="s">
        <v>345</v>
      </c>
      <c r="C32" s="470"/>
      <c r="D32" s="469" t="s">
        <v>346</v>
      </c>
      <c r="E32" s="471"/>
      <c r="F32" s="471"/>
      <c r="G32" s="470"/>
      <c r="H32" s="253"/>
      <c r="I32" s="254"/>
    </row>
    <row r="33" spans="1:9" ht="107.1" customHeight="1" x14ac:dyDescent="0.2">
      <c r="A33" s="262" t="s">
        <v>234</v>
      </c>
      <c r="B33" s="486" t="s">
        <v>414</v>
      </c>
      <c r="C33" s="487"/>
      <c r="D33" s="488" t="s">
        <v>415</v>
      </c>
      <c r="E33" s="489"/>
      <c r="F33" s="489"/>
      <c r="G33" s="490"/>
      <c r="H33" s="264" t="s">
        <v>416</v>
      </c>
      <c r="I33" s="266">
        <f>ROUND((101469  + 28670  * 3.24) * 1 * 0.4 * 6.1 * 0.9,0)</f>
        <v>426814</v>
      </c>
    </row>
    <row r="34" spans="1:9" ht="15.75" customHeight="1" x14ac:dyDescent="0.2">
      <c r="A34" s="246" t="s">
        <v>340</v>
      </c>
      <c r="B34" s="483" t="s">
        <v>341</v>
      </c>
      <c r="C34" s="484"/>
      <c r="D34" s="483"/>
      <c r="E34" s="485"/>
      <c r="F34" s="485"/>
      <c r="G34" s="484"/>
      <c r="H34" s="247"/>
      <c r="I34" s="248"/>
    </row>
    <row r="35" spans="1:9" ht="25.5" customHeight="1" x14ac:dyDescent="0.2">
      <c r="A35" s="249" t="s">
        <v>340</v>
      </c>
      <c r="B35" s="475" t="s">
        <v>342</v>
      </c>
      <c r="C35" s="476"/>
      <c r="D35" s="475" t="s">
        <v>343</v>
      </c>
      <c r="E35" s="477"/>
      <c r="F35" s="477"/>
      <c r="G35" s="476"/>
      <c r="H35" s="250"/>
      <c r="I35" s="251"/>
    </row>
    <row r="36" spans="1:9" ht="12.75" customHeight="1" x14ac:dyDescent="0.2">
      <c r="A36" s="249" t="s">
        <v>340</v>
      </c>
      <c r="B36" s="475" t="s">
        <v>344</v>
      </c>
      <c r="C36" s="476"/>
      <c r="D36" s="475" t="s">
        <v>404</v>
      </c>
      <c r="E36" s="477"/>
      <c r="F36" s="477"/>
      <c r="G36" s="476"/>
      <c r="H36" s="250"/>
      <c r="I36" s="251"/>
    </row>
    <row r="37" spans="1:9" ht="63.75" customHeight="1" x14ac:dyDescent="0.2">
      <c r="A37" s="252" t="s">
        <v>340</v>
      </c>
      <c r="B37" s="469" t="s">
        <v>345</v>
      </c>
      <c r="C37" s="470"/>
      <c r="D37" s="469" t="s">
        <v>346</v>
      </c>
      <c r="E37" s="471"/>
      <c r="F37" s="471"/>
      <c r="G37" s="470"/>
      <c r="H37" s="253"/>
      <c r="I37" s="254"/>
    </row>
    <row r="38" spans="1:9" ht="107.1" customHeight="1" x14ac:dyDescent="0.2">
      <c r="A38" s="262" t="s">
        <v>237</v>
      </c>
      <c r="B38" s="486" t="s">
        <v>387</v>
      </c>
      <c r="C38" s="487"/>
      <c r="D38" s="488" t="s">
        <v>388</v>
      </c>
      <c r="E38" s="489"/>
      <c r="F38" s="489"/>
      <c r="G38" s="490"/>
      <c r="H38" s="264" t="s">
        <v>417</v>
      </c>
      <c r="I38" s="266">
        <f>ROUND(40828  * 1 * 0.4 * 6.1,0)</f>
        <v>99620</v>
      </c>
    </row>
    <row r="39" spans="1:9" ht="15.75" customHeight="1" x14ac:dyDescent="0.2">
      <c r="A39" s="246" t="s">
        <v>340</v>
      </c>
      <c r="B39" s="483" t="s">
        <v>341</v>
      </c>
      <c r="C39" s="484"/>
      <c r="D39" s="483"/>
      <c r="E39" s="485"/>
      <c r="F39" s="485"/>
      <c r="G39" s="484"/>
      <c r="H39" s="247"/>
      <c r="I39" s="248"/>
    </row>
    <row r="40" spans="1:9" ht="25.5" customHeight="1" x14ac:dyDescent="0.2">
      <c r="A40" s="249" t="s">
        <v>340</v>
      </c>
      <c r="B40" s="475" t="s">
        <v>342</v>
      </c>
      <c r="C40" s="476"/>
      <c r="D40" s="475" t="s">
        <v>343</v>
      </c>
      <c r="E40" s="477"/>
      <c r="F40" s="477"/>
      <c r="G40" s="476"/>
      <c r="H40" s="250"/>
      <c r="I40" s="251"/>
    </row>
    <row r="41" spans="1:9" ht="12.75" customHeight="1" x14ac:dyDescent="0.2">
      <c r="A41" s="252" t="s">
        <v>340</v>
      </c>
      <c r="B41" s="469" t="s">
        <v>344</v>
      </c>
      <c r="C41" s="470"/>
      <c r="D41" s="469" t="s">
        <v>404</v>
      </c>
      <c r="E41" s="471"/>
      <c r="F41" s="471"/>
      <c r="G41" s="470"/>
      <c r="H41" s="253"/>
      <c r="I41" s="254"/>
    </row>
    <row r="42" spans="1:9" ht="107.1" customHeight="1" x14ac:dyDescent="0.2">
      <c r="A42" s="262" t="s">
        <v>242</v>
      </c>
      <c r="B42" s="486" t="s">
        <v>389</v>
      </c>
      <c r="C42" s="487"/>
      <c r="D42" s="488" t="s">
        <v>388</v>
      </c>
      <c r="E42" s="489"/>
      <c r="F42" s="489"/>
      <c r="G42" s="490"/>
      <c r="H42" s="264" t="s">
        <v>417</v>
      </c>
      <c r="I42" s="266">
        <f>ROUND(40828  * 1 * 0.4 * 6.1,0)</f>
        <v>99620</v>
      </c>
    </row>
    <row r="43" spans="1:9" ht="15.75" customHeight="1" x14ac:dyDescent="0.2">
      <c r="A43" s="246" t="s">
        <v>340</v>
      </c>
      <c r="B43" s="483" t="s">
        <v>341</v>
      </c>
      <c r="C43" s="484"/>
      <c r="D43" s="483"/>
      <c r="E43" s="485"/>
      <c r="F43" s="485"/>
      <c r="G43" s="484"/>
      <c r="H43" s="247"/>
      <c r="I43" s="248"/>
    </row>
    <row r="44" spans="1:9" ht="25.5" customHeight="1" x14ac:dyDescent="0.2">
      <c r="A44" s="249" t="s">
        <v>340</v>
      </c>
      <c r="B44" s="475" t="s">
        <v>342</v>
      </c>
      <c r="C44" s="476"/>
      <c r="D44" s="475" t="s">
        <v>343</v>
      </c>
      <c r="E44" s="477"/>
      <c r="F44" s="477"/>
      <c r="G44" s="476"/>
      <c r="H44" s="250"/>
      <c r="I44" s="251"/>
    </row>
    <row r="45" spans="1:9" ht="12.75" customHeight="1" x14ac:dyDescent="0.2">
      <c r="A45" s="252" t="s">
        <v>340</v>
      </c>
      <c r="B45" s="469" t="s">
        <v>344</v>
      </c>
      <c r="C45" s="470"/>
      <c r="D45" s="469" t="s">
        <v>404</v>
      </c>
      <c r="E45" s="471"/>
      <c r="F45" s="471"/>
      <c r="G45" s="470"/>
      <c r="H45" s="253"/>
      <c r="I45" s="254"/>
    </row>
    <row r="46" spans="1:9" ht="107.1" customHeight="1" x14ac:dyDescent="0.2">
      <c r="A46" s="262" t="s">
        <v>245</v>
      </c>
      <c r="B46" s="486" t="s">
        <v>390</v>
      </c>
      <c r="C46" s="487"/>
      <c r="D46" s="488" t="s">
        <v>391</v>
      </c>
      <c r="E46" s="489"/>
      <c r="F46" s="489"/>
      <c r="G46" s="490"/>
      <c r="H46" s="264" t="s">
        <v>418</v>
      </c>
      <c r="I46" s="266">
        <f>ROUND(11768  * 2 * 0.4 * 6.1,0)</f>
        <v>57428</v>
      </c>
    </row>
    <row r="47" spans="1:9" ht="15.75" customHeight="1" x14ac:dyDescent="0.2">
      <c r="A47" s="246" t="s">
        <v>340</v>
      </c>
      <c r="B47" s="483" t="s">
        <v>341</v>
      </c>
      <c r="C47" s="484"/>
      <c r="D47" s="483"/>
      <c r="E47" s="485"/>
      <c r="F47" s="485"/>
      <c r="G47" s="484"/>
      <c r="H47" s="247"/>
      <c r="I47" s="248"/>
    </row>
    <row r="48" spans="1:9" ht="25.5" customHeight="1" x14ac:dyDescent="0.2">
      <c r="A48" s="249" t="s">
        <v>340</v>
      </c>
      <c r="B48" s="475" t="s">
        <v>342</v>
      </c>
      <c r="C48" s="476"/>
      <c r="D48" s="475" t="s">
        <v>343</v>
      </c>
      <c r="E48" s="477"/>
      <c r="F48" s="477"/>
      <c r="G48" s="476"/>
      <c r="H48" s="250"/>
      <c r="I48" s="251"/>
    </row>
    <row r="49" spans="1:9" ht="12.75" customHeight="1" x14ac:dyDescent="0.2">
      <c r="A49" s="252" t="s">
        <v>340</v>
      </c>
      <c r="B49" s="469" t="s">
        <v>344</v>
      </c>
      <c r="C49" s="470"/>
      <c r="D49" s="469" t="s">
        <v>419</v>
      </c>
      <c r="E49" s="471"/>
      <c r="F49" s="471"/>
      <c r="G49" s="470"/>
      <c r="H49" s="253"/>
      <c r="I49" s="254"/>
    </row>
    <row r="50" spans="1:9" ht="107.1" customHeight="1" x14ac:dyDescent="0.2">
      <c r="A50" s="262" t="s">
        <v>251</v>
      </c>
      <c r="B50" s="486" t="s">
        <v>347</v>
      </c>
      <c r="C50" s="487"/>
      <c r="D50" s="488" t="s">
        <v>392</v>
      </c>
      <c r="E50" s="489"/>
      <c r="F50" s="489"/>
      <c r="G50" s="490"/>
      <c r="H50" s="264" t="s">
        <v>420</v>
      </c>
      <c r="I50" s="266">
        <f>ROUND(144911  * 2 * 0.4 * 6.1 * 0.09,0)</f>
        <v>63645</v>
      </c>
    </row>
    <row r="51" spans="1:9" ht="15.75" customHeight="1" x14ac:dyDescent="0.2">
      <c r="A51" s="246" t="s">
        <v>340</v>
      </c>
      <c r="B51" s="483" t="s">
        <v>341</v>
      </c>
      <c r="C51" s="484"/>
      <c r="D51" s="483"/>
      <c r="E51" s="485"/>
      <c r="F51" s="485"/>
      <c r="G51" s="484"/>
      <c r="H51" s="247"/>
      <c r="I51" s="248"/>
    </row>
    <row r="52" spans="1:9" ht="25.5" customHeight="1" x14ac:dyDescent="0.2">
      <c r="A52" s="249" t="s">
        <v>340</v>
      </c>
      <c r="B52" s="475" t="s">
        <v>342</v>
      </c>
      <c r="C52" s="476"/>
      <c r="D52" s="475" t="s">
        <v>343</v>
      </c>
      <c r="E52" s="477"/>
      <c r="F52" s="477"/>
      <c r="G52" s="476"/>
      <c r="H52" s="250"/>
      <c r="I52" s="251"/>
    </row>
    <row r="53" spans="1:9" ht="12.75" customHeight="1" x14ac:dyDescent="0.2">
      <c r="A53" s="249" t="s">
        <v>340</v>
      </c>
      <c r="B53" s="475" t="s">
        <v>344</v>
      </c>
      <c r="C53" s="476"/>
      <c r="D53" s="475" t="s">
        <v>404</v>
      </c>
      <c r="E53" s="477"/>
      <c r="F53" s="477"/>
      <c r="G53" s="476"/>
      <c r="H53" s="250"/>
      <c r="I53" s="251"/>
    </row>
    <row r="54" spans="1:9" ht="25.5" customHeight="1" x14ac:dyDescent="0.2">
      <c r="A54" s="252" t="s">
        <v>340</v>
      </c>
      <c r="B54" s="469" t="s">
        <v>374</v>
      </c>
      <c r="C54" s="470"/>
      <c r="D54" s="469" t="s">
        <v>375</v>
      </c>
      <c r="E54" s="471"/>
      <c r="F54" s="471"/>
      <c r="G54" s="470"/>
      <c r="H54" s="253"/>
      <c r="I54" s="254"/>
    </row>
    <row r="55" spans="1:9" ht="107.1" customHeight="1" x14ac:dyDescent="0.2">
      <c r="A55" s="262" t="s">
        <v>255</v>
      </c>
      <c r="B55" s="486" t="s">
        <v>348</v>
      </c>
      <c r="C55" s="487"/>
      <c r="D55" s="488" t="s">
        <v>392</v>
      </c>
      <c r="E55" s="489"/>
      <c r="F55" s="489"/>
      <c r="G55" s="490"/>
      <c r="H55" s="264" t="s">
        <v>421</v>
      </c>
      <c r="I55" s="266">
        <f>ROUND(144911  * 2 * 0.4 * 6.1 * 0.08,0)</f>
        <v>56573</v>
      </c>
    </row>
    <row r="56" spans="1:9" ht="15.75" customHeight="1" x14ac:dyDescent="0.2">
      <c r="A56" s="246" t="s">
        <v>340</v>
      </c>
      <c r="B56" s="483" t="s">
        <v>341</v>
      </c>
      <c r="C56" s="484"/>
      <c r="D56" s="483"/>
      <c r="E56" s="485"/>
      <c r="F56" s="485"/>
      <c r="G56" s="484"/>
      <c r="H56" s="247"/>
      <c r="I56" s="248"/>
    </row>
    <row r="57" spans="1:9" ht="25.5" customHeight="1" x14ac:dyDescent="0.2">
      <c r="A57" s="249" t="s">
        <v>340</v>
      </c>
      <c r="B57" s="475" t="s">
        <v>342</v>
      </c>
      <c r="C57" s="476"/>
      <c r="D57" s="475" t="s">
        <v>343</v>
      </c>
      <c r="E57" s="477"/>
      <c r="F57" s="477"/>
      <c r="G57" s="476"/>
      <c r="H57" s="250"/>
      <c r="I57" s="251"/>
    </row>
    <row r="58" spans="1:9" ht="12.75" customHeight="1" x14ac:dyDescent="0.2">
      <c r="A58" s="249" t="s">
        <v>340</v>
      </c>
      <c r="B58" s="475" t="s">
        <v>344</v>
      </c>
      <c r="C58" s="476"/>
      <c r="D58" s="475" t="s">
        <v>404</v>
      </c>
      <c r="E58" s="477"/>
      <c r="F58" s="477"/>
      <c r="G58" s="476"/>
      <c r="H58" s="250"/>
      <c r="I58" s="251"/>
    </row>
    <row r="59" spans="1:9" ht="25.5" customHeight="1" x14ac:dyDescent="0.2">
      <c r="A59" s="252" t="s">
        <v>340</v>
      </c>
      <c r="B59" s="469" t="s">
        <v>376</v>
      </c>
      <c r="C59" s="470"/>
      <c r="D59" s="469" t="s">
        <v>377</v>
      </c>
      <c r="E59" s="471"/>
      <c r="F59" s="471"/>
      <c r="G59" s="470"/>
      <c r="H59" s="253"/>
      <c r="I59" s="254"/>
    </row>
    <row r="60" spans="1:9" ht="94.35" customHeight="1" x14ac:dyDescent="0.2">
      <c r="A60" s="262" t="s">
        <v>258</v>
      </c>
      <c r="B60" s="486" t="s">
        <v>349</v>
      </c>
      <c r="C60" s="487"/>
      <c r="D60" s="488" t="s">
        <v>393</v>
      </c>
      <c r="E60" s="489"/>
      <c r="F60" s="489"/>
      <c r="G60" s="490"/>
      <c r="H60" s="264" t="s">
        <v>422</v>
      </c>
      <c r="I60" s="266">
        <f>ROUND(20435  * 2 * 0.4 * 6.1,0)</f>
        <v>99723</v>
      </c>
    </row>
    <row r="61" spans="1:9" ht="15.75" customHeight="1" x14ac:dyDescent="0.2">
      <c r="A61" s="246" t="s">
        <v>340</v>
      </c>
      <c r="B61" s="483" t="s">
        <v>341</v>
      </c>
      <c r="C61" s="484"/>
      <c r="D61" s="483"/>
      <c r="E61" s="485"/>
      <c r="F61" s="485"/>
      <c r="G61" s="484"/>
      <c r="H61" s="247"/>
      <c r="I61" s="248"/>
    </row>
    <row r="62" spans="1:9" ht="25.5" customHeight="1" x14ac:dyDescent="0.2">
      <c r="A62" s="249" t="s">
        <v>340</v>
      </c>
      <c r="B62" s="475" t="s">
        <v>342</v>
      </c>
      <c r="C62" s="476"/>
      <c r="D62" s="475" t="s">
        <v>343</v>
      </c>
      <c r="E62" s="477"/>
      <c r="F62" s="477"/>
      <c r="G62" s="476"/>
      <c r="H62" s="250"/>
      <c r="I62" s="251"/>
    </row>
    <row r="63" spans="1:9" ht="12.75" customHeight="1" x14ac:dyDescent="0.2">
      <c r="A63" s="252" t="s">
        <v>340</v>
      </c>
      <c r="B63" s="469" t="s">
        <v>344</v>
      </c>
      <c r="C63" s="470"/>
      <c r="D63" s="469" t="s">
        <v>404</v>
      </c>
      <c r="E63" s="471"/>
      <c r="F63" s="471"/>
      <c r="G63" s="470"/>
      <c r="H63" s="253"/>
      <c r="I63" s="254"/>
    </row>
    <row r="64" spans="1:9" ht="12.75" customHeight="1" x14ac:dyDescent="0.2">
      <c r="A64" s="252" t="s">
        <v>139</v>
      </c>
      <c r="B64" s="469" t="s">
        <v>350</v>
      </c>
      <c r="C64" s="470"/>
      <c r="D64" s="469" t="s">
        <v>423</v>
      </c>
      <c r="E64" s="471"/>
      <c r="F64" s="471"/>
      <c r="G64" s="470"/>
      <c r="H64" s="253" t="s">
        <v>424</v>
      </c>
      <c r="I64" s="267">
        <v>775647</v>
      </c>
    </row>
    <row r="65" spans="1:9" ht="221.85" customHeight="1" x14ac:dyDescent="0.2">
      <c r="A65" s="261" t="s">
        <v>263</v>
      </c>
      <c r="B65" s="478" t="s">
        <v>351</v>
      </c>
      <c r="C65" s="479"/>
      <c r="D65" s="480" t="s">
        <v>378</v>
      </c>
      <c r="E65" s="481"/>
      <c r="F65" s="481"/>
      <c r="G65" s="482"/>
      <c r="H65" s="263" t="s">
        <v>425</v>
      </c>
      <c r="I65" s="265">
        <f>ROUND(30500  * 1 * 1 * 6.1 * 1.4 * 1.6 * 0.74,0)</f>
        <v>308396</v>
      </c>
    </row>
    <row r="66" spans="1:9" ht="15.75" customHeight="1" x14ac:dyDescent="0.2">
      <c r="A66" s="246" t="s">
        <v>340</v>
      </c>
      <c r="B66" s="483" t="s">
        <v>341</v>
      </c>
      <c r="C66" s="484"/>
      <c r="D66" s="483"/>
      <c r="E66" s="485"/>
      <c r="F66" s="485"/>
      <c r="G66" s="484"/>
      <c r="H66" s="247"/>
      <c r="I66" s="248"/>
    </row>
    <row r="67" spans="1:9" ht="25.5" customHeight="1" x14ac:dyDescent="0.2">
      <c r="A67" s="249" t="s">
        <v>340</v>
      </c>
      <c r="B67" s="475" t="s">
        <v>342</v>
      </c>
      <c r="C67" s="476"/>
      <c r="D67" s="475" t="s">
        <v>379</v>
      </c>
      <c r="E67" s="477"/>
      <c r="F67" s="477"/>
      <c r="G67" s="476"/>
      <c r="H67" s="250"/>
      <c r="I67" s="251"/>
    </row>
    <row r="68" spans="1:9" ht="12.75" customHeight="1" x14ac:dyDescent="0.2">
      <c r="A68" s="249" t="s">
        <v>340</v>
      </c>
      <c r="B68" s="475" t="s">
        <v>344</v>
      </c>
      <c r="C68" s="476"/>
      <c r="D68" s="475" t="s">
        <v>419</v>
      </c>
      <c r="E68" s="477"/>
      <c r="F68" s="477"/>
      <c r="G68" s="476"/>
      <c r="H68" s="250"/>
      <c r="I68" s="251"/>
    </row>
    <row r="69" spans="1:9" ht="63.75" customHeight="1" x14ac:dyDescent="0.2">
      <c r="A69" s="249" t="s">
        <v>340</v>
      </c>
      <c r="B69" s="475" t="s">
        <v>352</v>
      </c>
      <c r="C69" s="476"/>
      <c r="D69" s="475" t="s">
        <v>353</v>
      </c>
      <c r="E69" s="477"/>
      <c r="F69" s="477"/>
      <c r="G69" s="476"/>
      <c r="H69" s="250"/>
      <c r="I69" s="251"/>
    </row>
    <row r="70" spans="1:9" ht="102" customHeight="1" x14ac:dyDescent="0.2">
      <c r="A70" s="249" t="s">
        <v>340</v>
      </c>
      <c r="B70" s="475" t="s">
        <v>354</v>
      </c>
      <c r="C70" s="476"/>
      <c r="D70" s="475" t="s">
        <v>355</v>
      </c>
      <c r="E70" s="477"/>
      <c r="F70" s="477"/>
      <c r="G70" s="476"/>
      <c r="H70" s="250"/>
      <c r="I70" s="251"/>
    </row>
    <row r="71" spans="1:9" ht="114.75" customHeight="1" x14ac:dyDescent="0.2">
      <c r="A71" s="252" t="s">
        <v>340</v>
      </c>
      <c r="B71" s="469" t="s">
        <v>356</v>
      </c>
      <c r="C71" s="470"/>
      <c r="D71" s="469" t="s">
        <v>357</v>
      </c>
      <c r="E71" s="471"/>
      <c r="F71" s="471"/>
      <c r="G71" s="470"/>
      <c r="H71" s="253"/>
      <c r="I71" s="254"/>
    </row>
    <row r="72" spans="1:9" ht="12.75" customHeight="1" x14ac:dyDescent="0.2">
      <c r="A72" s="252" t="s">
        <v>268</v>
      </c>
      <c r="B72" s="472" t="s">
        <v>358</v>
      </c>
      <c r="C72" s="473"/>
      <c r="D72" s="472"/>
      <c r="E72" s="474"/>
      <c r="F72" s="474"/>
      <c r="G72" s="473"/>
      <c r="H72" s="255"/>
      <c r="I72" s="268">
        <f>ROUND((SUM($I$15:$I$65)),0)</f>
        <v>4298001</v>
      </c>
    </row>
    <row r="73" spans="1:9" ht="25.5" customHeight="1" x14ac:dyDescent="0.2">
      <c r="A73" s="256" t="s">
        <v>269</v>
      </c>
      <c r="B73" s="463" t="s">
        <v>380</v>
      </c>
      <c r="C73" s="464"/>
      <c r="D73" s="463"/>
      <c r="E73" s="465"/>
      <c r="F73" s="465"/>
      <c r="G73" s="464"/>
      <c r="H73" s="257" t="s">
        <v>394</v>
      </c>
      <c r="I73" s="269">
        <f>ROUND(($I$72) * 15 / 100 * 1,0)</f>
        <v>644700</v>
      </c>
    </row>
    <row r="74" spans="1:9" ht="12.75" customHeight="1" x14ac:dyDescent="0.2">
      <c r="A74" s="256" t="s">
        <v>140</v>
      </c>
      <c r="B74" s="463" t="s">
        <v>42</v>
      </c>
      <c r="C74" s="464"/>
      <c r="D74" s="463"/>
      <c r="E74" s="465"/>
      <c r="F74" s="465"/>
      <c r="G74" s="464"/>
      <c r="H74" s="257" t="s">
        <v>395</v>
      </c>
      <c r="I74" s="269">
        <f>ROUND((SUM($I$72:$I$73)),0)</f>
        <v>4942701</v>
      </c>
    </row>
    <row r="75" spans="1:9" ht="12.75" customHeight="1" x14ac:dyDescent="0.2">
      <c r="A75" s="256" t="s">
        <v>272</v>
      </c>
      <c r="B75" s="463" t="s">
        <v>359</v>
      </c>
      <c r="C75" s="464"/>
      <c r="D75" s="463"/>
      <c r="E75" s="465"/>
      <c r="F75" s="465"/>
      <c r="G75" s="464"/>
      <c r="H75" s="257" t="s">
        <v>396</v>
      </c>
      <c r="I75" s="270">
        <f>ROUND(($I$74) * 20 / 100 * 1,2)</f>
        <v>988540.2</v>
      </c>
    </row>
    <row r="76" spans="1:9" ht="12.75" customHeight="1" x14ac:dyDescent="0.2">
      <c r="A76" s="256" t="s">
        <v>275</v>
      </c>
      <c r="B76" s="466" t="s">
        <v>360</v>
      </c>
      <c r="C76" s="467"/>
      <c r="D76" s="466"/>
      <c r="E76" s="468"/>
      <c r="F76" s="468"/>
      <c r="G76" s="467"/>
      <c r="H76" s="258"/>
      <c r="I76" s="271">
        <f>ROUND((SUM($I$74:$I$75)),2)</f>
        <v>5931241.2000000002</v>
      </c>
    </row>
    <row r="77" spans="1:9" ht="12.75" customHeight="1" x14ac:dyDescent="0.2"/>
    <row r="78" spans="1:9" s="259" customFormat="1" ht="24.95" customHeight="1" x14ac:dyDescent="0.2">
      <c r="A78" s="460"/>
      <c r="B78" s="460"/>
      <c r="C78" s="460"/>
      <c r="D78" s="460"/>
      <c r="E78" s="460"/>
      <c r="F78" s="460"/>
      <c r="G78" s="460"/>
      <c r="H78" s="460"/>
      <c r="I78" s="460"/>
    </row>
    <row r="79" spans="1:9" x14ac:dyDescent="0.2">
      <c r="A79" s="272"/>
      <c r="B79" s="272"/>
      <c r="C79" s="272"/>
      <c r="D79" s="272"/>
      <c r="E79" s="272"/>
      <c r="F79" s="272"/>
      <c r="G79" s="272"/>
      <c r="H79" s="272"/>
      <c r="I79" s="272"/>
    </row>
    <row r="80" spans="1:9" s="238" customFormat="1" ht="12.75" customHeight="1" x14ac:dyDescent="0.2">
      <c r="A80" s="461"/>
      <c r="B80" s="461"/>
      <c r="C80" s="461"/>
      <c r="D80" s="461"/>
      <c r="E80" s="461"/>
      <c r="F80" s="461"/>
      <c r="G80" s="461"/>
      <c r="H80" s="461"/>
      <c r="I80" s="461"/>
    </row>
    <row r="81" spans="1:9" s="260" customFormat="1" ht="12.75" customHeight="1" x14ac:dyDescent="0.2">
      <c r="A81" s="462"/>
      <c r="B81" s="462"/>
      <c r="C81" s="462"/>
      <c r="D81" s="462"/>
      <c r="E81" s="462"/>
      <c r="F81" s="462"/>
      <c r="G81" s="462"/>
      <c r="H81" s="462"/>
      <c r="I81" s="462"/>
    </row>
    <row r="82" spans="1:9" x14ac:dyDescent="0.2">
      <c r="A82" s="272"/>
      <c r="B82" s="272"/>
      <c r="C82" s="272"/>
      <c r="D82" s="272"/>
      <c r="E82" s="272"/>
      <c r="F82" s="272"/>
      <c r="G82" s="272"/>
      <c r="H82" s="272"/>
      <c r="I82" s="272"/>
    </row>
  </sheetData>
  <mergeCells count="143">
    <mergeCell ref="A78:C78"/>
    <mergeCell ref="D78:I78"/>
    <mergeCell ref="A80:I80"/>
    <mergeCell ref="A81:I81"/>
    <mergeCell ref="B74:C74"/>
    <mergeCell ref="D74:G74"/>
    <mergeCell ref="B75:C75"/>
    <mergeCell ref="D75:G75"/>
    <mergeCell ref="B76:C76"/>
    <mergeCell ref="D76:G76"/>
    <mergeCell ref="B71:C71"/>
    <mergeCell ref="D71:G71"/>
    <mergeCell ref="B72:C72"/>
    <mergeCell ref="D72:G72"/>
    <mergeCell ref="B73:C73"/>
    <mergeCell ref="D73:G73"/>
    <mergeCell ref="B68:C68"/>
    <mergeCell ref="D68:G68"/>
    <mergeCell ref="B69:C69"/>
    <mergeCell ref="D69:G69"/>
    <mergeCell ref="B70:C70"/>
    <mergeCell ref="D70:G70"/>
    <mergeCell ref="B65:C65"/>
    <mergeCell ref="D65:G65"/>
    <mergeCell ref="B66:C66"/>
    <mergeCell ref="D66:G66"/>
    <mergeCell ref="B67:C67"/>
    <mergeCell ref="D67:G67"/>
    <mergeCell ref="B62:C62"/>
    <mergeCell ref="D62:G62"/>
    <mergeCell ref="B63:C63"/>
    <mergeCell ref="D63:G63"/>
    <mergeCell ref="B64:C64"/>
    <mergeCell ref="D64:G64"/>
    <mergeCell ref="B59:C59"/>
    <mergeCell ref="D59:G59"/>
    <mergeCell ref="B60:C60"/>
    <mergeCell ref="D60:G60"/>
    <mergeCell ref="B61:C61"/>
    <mergeCell ref="D61:G61"/>
    <mergeCell ref="B56:C56"/>
    <mergeCell ref="D56:G56"/>
    <mergeCell ref="B57:C57"/>
    <mergeCell ref="D57:G57"/>
    <mergeCell ref="B58:C58"/>
    <mergeCell ref="D58:G58"/>
    <mergeCell ref="B53:C53"/>
    <mergeCell ref="D53:G53"/>
    <mergeCell ref="B54:C54"/>
    <mergeCell ref="D54:G54"/>
    <mergeCell ref="B55:C55"/>
    <mergeCell ref="D55:G55"/>
    <mergeCell ref="B50:C50"/>
    <mergeCell ref="D50:G50"/>
    <mergeCell ref="B51:C51"/>
    <mergeCell ref="D51:G51"/>
    <mergeCell ref="B52:C52"/>
    <mergeCell ref="D52:G52"/>
    <mergeCell ref="B47:C47"/>
    <mergeCell ref="D47:G47"/>
    <mergeCell ref="B48:C48"/>
    <mergeCell ref="D48:G48"/>
    <mergeCell ref="B49:C49"/>
    <mergeCell ref="D49:G49"/>
    <mergeCell ref="B44:C44"/>
    <mergeCell ref="D44:G44"/>
    <mergeCell ref="B45:C45"/>
    <mergeCell ref="D45:G45"/>
    <mergeCell ref="B46:C46"/>
    <mergeCell ref="D46:G46"/>
    <mergeCell ref="B41:C41"/>
    <mergeCell ref="D41:G41"/>
    <mergeCell ref="B42:C42"/>
    <mergeCell ref="D42:G42"/>
    <mergeCell ref="B43:C43"/>
    <mergeCell ref="D43:G43"/>
    <mergeCell ref="B38:C38"/>
    <mergeCell ref="D38:G38"/>
    <mergeCell ref="B39:C39"/>
    <mergeCell ref="D39:G39"/>
    <mergeCell ref="B40:C40"/>
    <mergeCell ref="D40:G40"/>
    <mergeCell ref="B35:C35"/>
    <mergeCell ref="D35:G35"/>
    <mergeCell ref="B36:C36"/>
    <mergeCell ref="D36:G36"/>
    <mergeCell ref="B37:C37"/>
    <mergeCell ref="D37:G37"/>
    <mergeCell ref="B32:C32"/>
    <mergeCell ref="D32:G32"/>
    <mergeCell ref="B33:C33"/>
    <mergeCell ref="D33:G33"/>
    <mergeCell ref="B34:C34"/>
    <mergeCell ref="D34:G34"/>
    <mergeCell ref="B29:C29"/>
    <mergeCell ref="D29:G29"/>
    <mergeCell ref="B30:C30"/>
    <mergeCell ref="D30:G30"/>
    <mergeCell ref="B31:C31"/>
    <mergeCell ref="D31:G31"/>
    <mergeCell ref="B26:C26"/>
    <mergeCell ref="D26:G26"/>
    <mergeCell ref="B27:C27"/>
    <mergeCell ref="D27:G27"/>
    <mergeCell ref="B28:C28"/>
    <mergeCell ref="D28:G28"/>
    <mergeCell ref="B23:C23"/>
    <mergeCell ref="D23:G23"/>
    <mergeCell ref="B24:C24"/>
    <mergeCell ref="D24:G24"/>
    <mergeCell ref="B25:C25"/>
    <mergeCell ref="D25:G25"/>
    <mergeCell ref="B20:C20"/>
    <mergeCell ref="D20:G20"/>
    <mergeCell ref="B21:C21"/>
    <mergeCell ref="D21:G21"/>
    <mergeCell ref="B22:C22"/>
    <mergeCell ref="D22:G22"/>
    <mergeCell ref="B17:C17"/>
    <mergeCell ref="D17:G17"/>
    <mergeCell ref="B18:C18"/>
    <mergeCell ref="D18:G18"/>
    <mergeCell ref="B19:C19"/>
    <mergeCell ref="D19:G19"/>
    <mergeCell ref="B14:C14"/>
    <mergeCell ref="D14:G14"/>
    <mergeCell ref="B15:C15"/>
    <mergeCell ref="D15:G15"/>
    <mergeCell ref="B16:C16"/>
    <mergeCell ref="D16:G16"/>
    <mergeCell ref="A8:C8"/>
    <mergeCell ref="D8:I8"/>
    <mergeCell ref="A10:C10"/>
    <mergeCell ref="D10:I10"/>
    <mergeCell ref="A12:I12"/>
    <mergeCell ref="B13:C13"/>
    <mergeCell ref="D13:G13"/>
    <mergeCell ref="A1:C1"/>
    <mergeCell ref="D1:I1"/>
    <mergeCell ref="A3:I3"/>
    <mergeCell ref="A4:I4"/>
    <mergeCell ref="A6:C6"/>
    <mergeCell ref="D6:I6"/>
  </mergeCells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I69"/>
  <sheetViews>
    <sheetView topLeftCell="A46" workbookViewId="0">
      <selection activeCell="H13" sqref="H13"/>
    </sheetView>
  </sheetViews>
  <sheetFormatPr defaultColWidth="11.5703125" defaultRowHeight="12.75" x14ac:dyDescent="0.2"/>
  <cols>
    <col min="1" max="1" width="3.7109375" style="238" customWidth="1"/>
    <col min="2" max="2" width="10.7109375" style="238" customWidth="1"/>
    <col min="3" max="3" width="15.5703125" style="238" customWidth="1"/>
    <col min="4" max="4" width="4.42578125" style="238" customWidth="1"/>
    <col min="5" max="7" width="9.28515625" style="238" customWidth="1"/>
    <col min="8" max="8" width="19.7109375" style="238" customWidth="1"/>
    <col min="9" max="9" width="14.7109375" style="238" customWidth="1"/>
    <col min="10" max="10" width="19.7109375" style="234" customWidth="1"/>
    <col min="11" max="256" width="11.5703125" style="234"/>
    <col min="257" max="257" width="3.7109375" style="234" customWidth="1"/>
    <col min="258" max="258" width="10.7109375" style="234" customWidth="1"/>
    <col min="259" max="259" width="15.5703125" style="234" customWidth="1"/>
    <col min="260" max="260" width="4.42578125" style="234" customWidth="1"/>
    <col min="261" max="263" width="9.28515625" style="234" customWidth="1"/>
    <col min="264" max="264" width="19.7109375" style="234" customWidth="1"/>
    <col min="265" max="265" width="14.7109375" style="234" customWidth="1"/>
    <col min="266" max="266" width="19.7109375" style="234" customWidth="1"/>
    <col min="267" max="512" width="11.5703125" style="234"/>
    <col min="513" max="513" width="3.7109375" style="234" customWidth="1"/>
    <col min="514" max="514" width="10.7109375" style="234" customWidth="1"/>
    <col min="515" max="515" width="15.5703125" style="234" customWidth="1"/>
    <col min="516" max="516" width="4.42578125" style="234" customWidth="1"/>
    <col min="517" max="519" width="9.28515625" style="234" customWidth="1"/>
    <col min="520" max="520" width="19.7109375" style="234" customWidth="1"/>
    <col min="521" max="521" width="14.7109375" style="234" customWidth="1"/>
    <col min="522" max="522" width="19.7109375" style="234" customWidth="1"/>
    <col min="523" max="768" width="11.5703125" style="234"/>
    <col min="769" max="769" width="3.7109375" style="234" customWidth="1"/>
    <col min="770" max="770" width="10.7109375" style="234" customWidth="1"/>
    <col min="771" max="771" width="15.5703125" style="234" customWidth="1"/>
    <col min="772" max="772" width="4.42578125" style="234" customWidth="1"/>
    <col min="773" max="775" width="9.28515625" style="234" customWidth="1"/>
    <col min="776" max="776" width="19.7109375" style="234" customWidth="1"/>
    <col min="777" max="777" width="14.7109375" style="234" customWidth="1"/>
    <col min="778" max="778" width="19.7109375" style="234" customWidth="1"/>
    <col min="779" max="1024" width="11.5703125" style="234"/>
    <col min="1025" max="1025" width="3.7109375" style="234" customWidth="1"/>
    <col min="1026" max="1026" width="10.7109375" style="234" customWidth="1"/>
    <col min="1027" max="1027" width="15.5703125" style="234" customWidth="1"/>
    <col min="1028" max="1028" width="4.42578125" style="234" customWidth="1"/>
    <col min="1029" max="1031" width="9.28515625" style="234" customWidth="1"/>
    <col min="1032" max="1032" width="19.7109375" style="234" customWidth="1"/>
    <col min="1033" max="1033" width="14.7109375" style="234" customWidth="1"/>
    <col min="1034" max="1034" width="19.7109375" style="234" customWidth="1"/>
    <col min="1035" max="1280" width="11.5703125" style="234"/>
    <col min="1281" max="1281" width="3.7109375" style="234" customWidth="1"/>
    <col min="1282" max="1282" width="10.7109375" style="234" customWidth="1"/>
    <col min="1283" max="1283" width="15.5703125" style="234" customWidth="1"/>
    <col min="1284" max="1284" width="4.42578125" style="234" customWidth="1"/>
    <col min="1285" max="1287" width="9.28515625" style="234" customWidth="1"/>
    <col min="1288" max="1288" width="19.7109375" style="234" customWidth="1"/>
    <col min="1289" max="1289" width="14.7109375" style="234" customWidth="1"/>
    <col min="1290" max="1290" width="19.7109375" style="234" customWidth="1"/>
    <col min="1291" max="1536" width="11.5703125" style="234"/>
    <col min="1537" max="1537" width="3.7109375" style="234" customWidth="1"/>
    <col min="1538" max="1538" width="10.7109375" style="234" customWidth="1"/>
    <col min="1539" max="1539" width="15.5703125" style="234" customWidth="1"/>
    <col min="1540" max="1540" width="4.42578125" style="234" customWidth="1"/>
    <col min="1541" max="1543" width="9.28515625" style="234" customWidth="1"/>
    <col min="1544" max="1544" width="19.7109375" style="234" customWidth="1"/>
    <col min="1545" max="1545" width="14.7109375" style="234" customWidth="1"/>
    <col min="1546" max="1546" width="19.7109375" style="234" customWidth="1"/>
    <col min="1547" max="1792" width="11.5703125" style="234"/>
    <col min="1793" max="1793" width="3.7109375" style="234" customWidth="1"/>
    <col min="1794" max="1794" width="10.7109375" style="234" customWidth="1"/>
    <col min="1795" max="1795" width="15.5703125" style="234" customWidth="1"/>
    <col min="1796" max="1796" width="4.42578125" style="234" customWidth="1"/>
    <col min="1797" max="1799" width="9.28515625" style="234" customWidth="1"/>
    <col min="1800" max="1800" width="19.7109375" style="234" customWidth="1"/>
    <col min="1801" max="1801" width="14.7109375" style="234" customWidth="1"/>
    <col min="1802" max="1802" width="19.7109375" style="234" customWidth="1"/>
    <col min="1803" max="2048" width="11.5703125" style="234"/>
    <col min="2049" max="2049" width="3.7109375" style="234" customWidth="1"/>
    <col min="2050" max="2050" width="10.7109375" style="234" customWidth="1"/>
    <col min="2051" max="2051" width="15.5703125" style="234" customWidth="1"/>
    <col min="2052" max="2052" width="4.42578125" style="234" customWidth="1"/>
    <col min="2053" max="2055" width="9.28515625" style="234" customWidth="1"/>
    <col min="2056" max="2056" width="19.7109375" style="234" customWidth="1"/>
    <col min="2057" max="2057" width="14.7109375" style="234" customWidth="1"/>
    <col min="2058" max="2058" width="19.7109375" style="234" customWidth="1"/>
    <col min="2059" max="2304" width="11.5703125" style="234"/>
    <col min="2305" max="2305" width="3.7109375" style="234" customWidth="1"/>
    <col min="2306" max="2306" width="10.7109375" style="234" customWidth="1"/>
    <col min="2307" max="2307" width="15.5703125" style="234" customWidth="1"/>
    <col min="2308" max="2308" width="4.42578125" style="234" customWidth="1"/>
    <col min="2309" max="2311" width="9.28515625" style="234" customWidth="1"/>
    <col min="2312" max="2312" width="19.7109375" style="234" customWidth="1"/>
    <col min="2313" max="2313" width="14.7109375" style="234" customWidth="1"/>
    <col min="2314" max="2314" width="19.7109375" style="234" customWidth="1"/>
    <col min="2315" max="2560" width="11.5703125" style="234"/>
    <col min="2561" max="2561" width="3.7109375" style="234" customWidth="1"/>
    <col min="2562" max="2562" width="10.7109375" style="234" customWidth="1"/>
    <col min="2563" max="2563" width="15.5703125" style="234" customWidth="1"/>
    <col min="2564" max="2564" width="4.42578125" style="234" customWidth="1"/>
    <col min="2565" max="2567" width="9.28515625" style="234" customWidth="1"/>
    <col min="2568" max="2568" width="19.7109375" style="234" customWidth="1"/>
    <col min="2569" max="2569" width="14.7109375" style="234" customWidth="1"/>
    <col min="2570" max="2570" width="19.7109375" style="234" customWidth="1"/>
    <col min="2571" max="2816" width="11.5703125" style="234"/>
    <col min="2817" max="2817" width="3.7109375" style="234" customWidth="1"/>
    <col min="2818" max="2818" width="10.7109375" style="234" customWidth="1"/>
    <col min="2819" max="2819" width="15.5703125" style="234" customWidth="1"/>
    <col min="2820" max="2820" width="4.42578125" style="234" customWidth="1"/>
    <col min="2821" max="2823" width="9.28515625" style="234" customWidth="1"/>
    <col min="2824" max="2824" width="19.7109375" style="234" customWidth="1"/>
    <col min="2825" max="2825" width="14.7109375" style="234" customWidth="1"/>
    <col min="2826" max="2826" width="19.7109375" style="234" customWidth="1"/>
    <col min="2827" max="3072" width="11.5703125" style="234"/>
    <col min="3073" max="3073" width="3.7109375" style="234" customWidth="1"/>
    <col min="3074" max="3074" width="10.7109375" style="234" customWidth="1"/>
    <col min="3075" max="3075" width="15.5703125" style="234" customWidth="1"/>
    <col min="3076" max="3076" width="4.42578125" style="234" customWidth="1"/>
    <col min="3077" max="3079" width="9.28515625" style="234" customWidth="1"/>
    <col min="3080" max="3080" width="19.7109375" style="234" customWidth="1"/>
    <col min="3081" max="3081" width="14.7109375" style="234" customWidth="1"/>
    <col min="3082" max="3082" width="19.7109375" style="234" customWidth="1"/>
    <col min="3083" max="3328" width="11.5703125" style="234"/>
    <col min="3329" max="3329" width="3.7109375" style="234" customWidth="1"/>
    <col min="3330" max="3330" width="10.7109375" style="234" customWidth="1"/>
    <col min="3331" max="3331" width="15.5703125" style="234" customWidth="1"/>
    <col min="3332" max="3332" width="4.42578125" style="234" customWidth="1"/>
    <col min="3333" max="3335" width="9.28515625" style="234" customWidth="1"/>
    <col min="3336" max="3336" width="19.7109375" style="234" customWidth="1"/>
    <col min="3337" max="3337" width="14.7109375" style="234" customWidth="1"/>
    <col min="3338" max="3338" width="19.7109375" style="234" customWidth="1"/>
    <col min="3339" max="3584" width="11.5703125" style="234"/>
    <col min="3585" max="3585" width="3.7109375" style="234" customWidth="1"/>
    <col min="3586" max="3586" width="10.7109375" style="234" customWidth="1"/>
    <col min="3587" max="3587" width="15.5703125" style="234" customWidth="1"/>
    <col min="3588" max="3588" width="4.42578125" style="234" customWidth="1"/>
    <col min="3589" max="3591" width="9.28515625" style="234" customWidth="1"/>
    <col min="3592" max="3592" width="19.7109375" style="234" customWidth="1"/>
    <col min="3593" max="3593" width="14.7109375" style="234" customWidth="1"/>
    <col min="3594" max="3594" width="19.7109375" style="234" customWidth="1"/>
    <col min="3595" max="3840" width="11.5703125" style="234"/>
    <col min="3841" max="3841" width="3.7109375" style="234" customWidth="1"/>
    <col min="3842" max="3842" width="10.7109375" style="234" customWidth="1"/>
    <col min="3843" max="3843" width="15.5703125" style="234" customWidth="1"/>
    <col min="3844" max="3844" width="4.42578125" style="234" customWidth="1"/>
    <col min="3845" max="3847" width="9.28515625" style="234" customWidth="1"/>
    <col min="3848" max="3848" width="19.7109375" style="234" customWidth="1"/>
    <col min="3849" max="3849" width="14.7109375" style="234" customWidth="1"/>
    <col min="3850" max="3850" width="19.7109375" style="234" customWidth="1"/>
    <col min="3851" max="4096" width="11.5703125" style="234"/>
    <col min="4097" max="4097" width="3.7109375" style="234" customWidth="1"/>
    <col min="4098" max="4098" width="10.7109375" style="234" customWidth="1"/>
    <col min="4099" max="4099" width="15.5703125" style="234" customWidth="1"/>
    <col min="4100" max="4100" width="4.42578125" style="234" customWidth="1"/>
    <col min="4101" max="4103" width="9.28515625" style="234" customWidth="1"/>
    <col min="4104" max="4104" width="19.7109375" style="234" customWidth="1"/>
    <col min="4105" max="4105" width="14.7109375" style="234" customWidth="1"/>
    <col min="4106" max="4106" width="19.7109375" style="234" customWidth="1"/>
    <col min="4107" max="4352" width="11.5703125" style="234"/>
    <col min="4353" max="4353" width="3.7109375" style="234" customWidth="1"/>
    <col min="4354" max="4354" width="10.7109375" style="234" customWidth="1"/>
    <col min="4355" max="4355" width="15.5703125" style="234" customWidth="1"/>
    <col min="4356" max="4356" width="4.42578125" style="234" customWidth="1"/>
    <col min="4357" max="4359" width="9.28515625" style="234" customWidth="1"/>
    <col min="4360" max="4360" width="19.7109375" style="234" customWidth="1"/>
    <col min="4361" max="4361" width="14.7109375" style="234" customWidth="1"/>
    <col min="4362" max="4362" width="19.7109375" style="234" customWidth="1"/>
    <col min="4363" max="4608" width="11.5703125" style="234"/>
    <col min="4609" max="4609" width="3.7109375" style="234" customWidth="1"/>
    <col min="4610" max="4610" width="10.7109375" style="234" customWidth="1"/>
    <col min="4611" max="4611" width="15.5703125" style="234" customWidth="1"/>
    <col min="4612" max="4612" width="4.42578125" style="234" customWidth="1"/>
    <col min="4613" max="4615" width="9.28515625" style="234" customWidth="1"/>
    <col min="4616" max="4616" width="19.7109375" style="234" customWidth="1"/>
    <col min="4617" max="4617" width="14.7109375" style="234" customWidth="1"/>
    <col min="4618" max="4618" width="19.7109375" style="234" customWidth="1"/>
    <col min="4619" max="4864" width="11.5703125" style="234"/>
    <col min="4865" max="4865" width="3.7109375" style="234" customWidth="1"/>
    <col min="4866" max="4866" width="10.7109375" style="234" customWidth="1"/>
    <col min="4867" max="4867" width="15.5703125" style="234" customWidth="1"/>
    <col min="4868" max="4868" width="4.42578125" style="234" customWidth="1"/>
    <col min="4869" max="4871" width="9.28515625" style="234" customWidth="1"/>
    <col min="4872" max="4872" width="19.7109375" style="234" customWidth="1"/>
    <col min="4873" max="4873" width="14.7109375" style="234" customWidth="1"/>
    <col min="4874" max="4874" width="19.7109375" style="234" customWidth="1"/>
    <col min="4875" max="5120" width="11.5703125" style="234"/>
    <col min="5121" max="5121" width="3.7109375" style="234" customWidth="1"/>
    <col min="5122" max="5122" width="10.7109375" style="234" customWidth="1"/>
    <col min="5123" max="5123" width="15.5703125" style="234" customWidth="1"/>
    <col min="5124" max="5124" width="4.42578125" style="234" customWidth="1"/>
    <col min="5125" max="5127" width="9.28515625" style="234" customWidth="1"/>
    <col min="5128" max="5128" width="19.7109375" style="234" customWidth="1"/>
    <col min="5129" max="5129" width="14.7109375" style="234" customWidth="1"/>
    <col min="5130" max="5130" width="19.7109375" style="234" customWidth="1"/>
    <col min="5131" max="5376" width="11.5703125" style="234"/>
    <col min="5377" max="5377" width="3.7109375" style="234" customWidth="1"/>
    <col min="5378" max="5378" width="10.7109375" style="234" customWidth="1"/>
    <col min="5379" max="5379" width="15.5703125" style="234" customWidth="1"/>
    <col min="5380" max="5380" width="4.42578125" style="234" customWidth="1"/>
    <col min="5381" max="5383" width="9.28515625" style="234" customWidth="1"/>
    <col min="5384" max="5384" width="19.7109375" style="234" customWidth="1"/>
    <col min="5385" max="5385" width="14.7109375" style="234" customWidth="1"/>
    <col min="5386" max="5386" width="19.7109375" style="234" customWidth="1"/>
    <col min="5387" max="5632" width="11.5703125" style="234"/>
    <col min="5633" max="5633" width="3.7109375" style="234" customWidth="1"/>
    <col min="5634" max="5634" width="10.7109375" style="234" customWidth="1"/>
    <col min="5635" max="5635" width="15.5703125" style="234" customWidth="1"/>
    <col min="5636" max="5636" width="4.42578125" style="234" customWidth="1"/>
    <col min="5637" max="5639" width="9.28515625" style="234" customWidth="1"/>
    <col min="5640" max="5640" width="19.7109375" style="234" customWidth="1"/>
    <col min="5641" max="5641" width="14.7109375" style="234" customWidth="1"/>
    <col min="5642" max="5642" width="19.7109375" style="234" customWidth="1"/>
    <col min="5643" max="5888" width="11.5703125" style="234"/>
    <col min="5889" max="5889" width="3.7109375" style="234" customWidth="1"/>
    <col min="5890" max="5890" width="10.7109375" style="234" customWidth="1"/>
    <col min="5891" max="5891" width="15.5703125" style="234" customWidth="1"/>
    <col min="5892" max="5892" width="4.42578125" style="234" customWidth="1"/>
    <col min="5893" max="5895" width="9.28515625" style="234" customWidth="1"/>
    <col min="5896" max="5896" width="19.7109375" style="234" customWidth="1"/>
    <col min="5897" max="5897" width="14.7109375" style="234" customWidth="1"/>
    <col min="5898" max="5898" width="19.7109375" style="234" customWidth="1"/>
    <col min="5899" max="6144" width="11.5703125" style="234"/>
    <col min="6145" max="6145" width="3.7109375" style="234" customWidth="1"/>
    <col min="6146" max="6146" width="10.7109375" style="234" customWidth="1"/>
    <col min="6147" max="6147" width="15.5703125" style="234" customWidth="1"/>
    <col min="6148" max="6148" width="4.42578125" style="234" customWidth="1"/>
    <col min="6149" max="6151" width="9.28515625" style="234" customWidth="1"/>
    <col min="6152" max="6152" width="19.7109375" style="234" customWidth="1"/>
    <col min="6153" max="6153" width="14.7109375" style="234" customWidth="1"/>
    <col min="6154" max="6154" width="19.7109375" style="234" customWidth="1"/>
    <col min="6155" max="6400" width="11.5703125" style="234"/>
    <col min="6401" max="6401" width="3.7109375" style="234" customWidth="1"/>
    <col min="6402" max="6402" width="10.7109375" style="234" customWidth="1"/>
    <col min="6403" max="6403" width="15.5703125" style="234" customWidth="1"/>
    <col min="6404" max="6404" width="4.42578125" style="234" customWidth="1"/>
    <col min="6405" max="6407" width="9.28515625" style="234" customWidth="1"/>
    <col min="6408" max="6408" width="19.7109375" style="234" customWidth="1"/>
    <col min="6409" max="6409" width="14.7109375" style="234" customWidth="1"/>
    <col min="6410" max="6410" width="19.7109375" style="234" customWidth="1"/>
    <col min="6411" max="6656" width="11.5703125" style="234"/>
    <col min="6657" max="6657" width="3.7109375" style="234" customWidth="1"/>
    <col min="6658" max="6658" width="10.7109375" style="234" customWidth="1"/>
    <col min="6659" max="6659" width="15.5703125" style="234" customWidth="1"/>
    <col min="6660" max="6660" width="4.42578125" style="234" customWidth="1"/>
    <col min="6661" max="6663" width="9.28515625" style="234" customWidth="1"/>
    <col min="6664" max="6664" width="19.7109375" style="234" customWidth="1"/>
    <col min="6665" max="6665" width="14.7109375" style="234" customWidth="1"/>
    <col min="6666" max="6666" width="19.7109375" style="234" customWidth="1"/>
    <col min="6667" max="6912" width="11.5703125" style="234"/>
    <col min="6913" max="6913" width="3.7109375" style="234" customWidth="1"/>
    <col min="6914" max="6914" width="10.7109375" style="234" customWidth="1"/>
    <col min="6915" max="6915" width="15.5703125" style="234" customWidth="1"/>
    <col min="6916" max="6916" width="4.42578125" style="234" customWidth="1"/>
    <col min="6917" max="6919" width="9.28515625" style="234" customWidth="1"/>
    <col min="6920" max="6920" width="19.7109375" style="234" customWidth="1"/>
    <col min="6921" max="6921" width="14.7109375" style="234" customWidth="1"/>
    <col min="6922" max="6922" width="19.7109375" style="234" customWidth="1"/>
    <col min="6923" max="7168" width="11.5703125" style="234"/>
    <col min="7169" max="7169" width="3.7109375" style="234" customWidth="1"/>
    <col min="7170" max="7170" width="10.7109375" style="234" customWidth="1"/>
    <col min="7171" max="7171" width="15.5703125" style="234" customWidth="1"/>
    <col min="7172" max="7172" width="4.42578125" style="234" customWidth="1"/>
    <col min="7173" max="7175" width="9.28515625" style="234" customWidth="1"/>
    <col min="7176" max="7176" width="19.7109375" style="234" customWidth="1"/>
    <col min="7177" max="7177" width="14.7109375" style="234" customWidth="1"/>
    <col min="7178" max="7178" width="19.7109375" style="234" customWidth="1"/>
    <col min="7179" max="7424" width="11.5703125" style="234"/>
    <col min="7425" max="7425" width="3.7109375" style="234" customWidth="1"/>
    <col min="7426" max="7426" width="10.7109375" style="234" customWidth="1"/>
    <col min="7427" max="7427" width="15.5703125" style="234" customWidth="1"/>
    <col min="7428" max="7428" width="4.42578125" style="234" customWidth="1"/>
    <col min="7429" max="7431" width="9.28515625" style="234" customWidth="1"/>
    <col min="7432" max="7432" width="19.7109375" style="234" customWidth="1"/>
    <col min="7433" max="7433" width="14.7109375" style="234" customWidth="1"/>
    <col min="7434" max="7434" width="19.7109375" style="234" customWidth="1"/>
    <col min="7435" max="7680" width="11.5703125" style="234"/>
    <col min="7681" max="7681" width="3.7109375" style="234" customWidth="1"/>
    <col min="7682" max="7682" width="10.7109375" style="234" customWidth="1"/>
    <col min="7683" max="7683" width="15.5703125" style="234" customWidth="1"/>
    <col min="7684" max="7684" width="4.42578125" style="234" customWidth="1"/>
    <col min="7685" max="7687" width="9.28515625" style="234" customWidth="1"/>
    <col min="7688" max="7688" width="19.7109375" style="234" customWidth="1"/>
    <col min="7689" max="7689" width="14.7109375" style="234" customWidth="1"/>
    <col min="7690" max="7690" width="19.7109375" style="234" customWidth="1"/>
    <col min="7691" max="7936" width="11.5703125" style="234"/>
    <col min="7937" max="7937" width="3.7109375" style="234" customWidth="1"/>
    <col min="7938" max="7938" width="10.7109375" style="234" customWidth="1"/>
    <col min="7939" max="7939" width="15.5703125" style="234" customWidth="1"/>
    <col min="7940" max="7940" width="4.42578125" style="234" customWidth="1"/>
    <col min="7941" max="7943" width="9.28515625" style="234" customWidth="1"/>
    <col min="7944" max="7944" width="19.7109375" style="234" customWidth="1"/>
    <col min="7945" max="7945" width="14.7109375" style="234" customWidth="1"/>
    <col min="7946" max="7946" width="19.7109375" style="234" customWidth="1"/>
    <col min="7947" max="8192" width="11.5703125" style="234"/>
    <col min="8193" max="8193" width="3.7109375" style="234" customWidth="1"/>
    <col min="8194" max="8194" width="10.7109375" style="234" customWidth="1"/>
    <col min="8195" max="8195" width="15.5703125" style="234" customWidth="1"/>
    <col min="8196" max="8196" width="4.42578125" style="234" customWidth="1"/>
    <col min="8197" max="8199" width="9.28515625" style="234" customWidth="1"/>
    <col min="8200" max="8200" width="19.7109375" style="234" customWidth="1"/>
    <col min="8201" max="8201" width="14.7109375" style="234" customWidth="1"/>
    <col min="8202" max="8202" width="19.7109375" style="234" customWidth="1"/>
    <col min="8203" max="8448" width="11.5703125" style="234"/>
    <col min="8449" max="8449" width="3.7109375" style="234" customWidth="1"/>
    <col min="8450" max="8450" width="10.7109375" style="234" customWidth="1"/>
    <col min="8451" max="8451" width="15.5703125" style="234" customWidth="1"/>
    <col min="8452" max="8452" width="4.42578125" style="234" customWidth="1"/>
    <col min="8453" max="8455" width="9.28515625" style="234" customWidth="1"/>
    <col min="8456" max="8456" width="19.7109375" style="234" customWidth="1"/>
    <col min="8457" max="8457" width="14.7109375" style="234" customWidth="1"/>
    <col min="8458" max="8458" width="19.7109375" style="234" customWidth="1"/>
    <col min="8459" max="8704" width="11.5703125" style="234"/>
    <col min="8705" max="8705" width="3.7109375" style="234" customWidth="1"/>
    <col min="8706" max="8706" width="10.7109375" style="234" customWidth="1"/>
    <col min="8707" max="8707" width="15.5703125" style="234" customWidth="1"/>
    <col min="8708" max="8708" width="4.42578125" style="234" customWidth="1"/>
    <col min="8709" max="8711" width="9.28515625" style="234" customWidth="1"/>
    <col min="8712" max="8712" width="19.7109375" style="234" customWidth="1"/>
    <col min="8713" max="8713" width="14.7109375" style="234" customWidth="1"/>
    <col min="8714" max="8714" width="19.7109375" style="234" customWidth="1"/>
    <col min="8715" max="8960" width="11.5703125" style="234"/>
    <col min="8961" max="8961" width="3.7109375" style="234" customWidth="1"/>
    <col min="8962" max="8962" width="10.7109375" style="234" customWidth="1"/>
    <col min="8963" max="8963" width="15.5703125" style="234" customWidth="1"/>
    <col min="8964" max="8964" width="4.42578125" style="234" customWidth="1"/>
    <col min="8965" max="8967" width="9.28515625" style="234" customWidth="1"/>
    <col min="8968" max="8968" width="19.7109375" style="234" customWidth="1"/>
    <col min="8969" max="8969" width="14.7109375" style="234" customWidth="1"/>
    <col min="8970" max="8970" width="19.7109375" style="234" customWidth="1"/>
    <col min="8971" max="9216" width="11.5703125" style="234"/>
    <col min="9217" max="9217" width="3.7109375" style="234" customWidth="1"/>
    <col min="9218" max="9218" width="10.7109375" style="234" customWidth="1"/>
    <col min="9219" max="9219" width="15.5703125" style="234" customWidth="1"/>
    <col min="9220" max="9220" width="4.42578125" style="234" customWidth="1"/>
    <col min="9221" max="9223" width="9.28515625" style="234" customWidth="1"/>
    <col min="9224" max="9224" width="19.7109375" style="234" customWidth="1"/>
    <col min="9225" max="9225" width="14.7109375" style="234" customWidth="1"/>
    <col min="9226" max="9226" width="19.7109375" style="234" customWidth="1"/>
    <col min="9227" max="9472" width="11.5703125" style="234"/>
    <col min="9473" max="9473" width="3.7109375" style="234" customWidth="1"/>
    <col min="9474" max="9474" width="10.7109375" style="234" customWidth="1"/>
    <col min="9475" max="9475" width="15.5703125" style="234" customWidth="1"/>
    <col min="9476" max="9476" width="4.42578125" style="234" customWidth="1"/>
    <col min="9477" max="9479" width="9.28515625" style="234" customWidth="1"/>
    <col min="9480" max="9480" width="19.7109375" style="234" customWidth="1"/>
    <col min="9481" max="9481" width="14.7109375" style="234" customWidth="1"/>
    <col min="9482" max="9482" width="19.7109375" style="234" customWidth="1"/>
    <col min="9483" max="9728" width="11.5703125" style="234"/>
    <col min="9729" max="9729" width="3.7109375" style="234" customWidth="1"/>
    <col min="9730" max="9730" width="10.7109375" style="234" customWidth="1"/>
    <col min="9731" max="9731" width="15.5703125" style="234" customWidth="1"/>
    <col min="9732" max="9732" width="4.42578125" style="234" customWidth="1"/>
    <col min="9733" max="9735" width="9.28515625" style="234" customWidth="1"/>
    <col min="9736" max="9736" width="19.7109375" style="234" customWidth="1"/>
    <col min="9737" max="9737" width="14.7109375" style="234" customWidth="1"/>
    <col min="9738" max="9738" width="19.7109375" style="234" customWidth="1"/>
    <col min="9739" max="9984" width="11.5703125" style="234"/>
    <col min="9985" max="9985" width="3.7109375" style="234" customWidth="1"/>
    <col min="9986" max="9986" width="10.7109375" style="234" customWidth="1"/>
    <col min="9987" max="9987" width="15.5703125" style="234" customWidth="1"/>
    <col min="9988" max="9988" width="4.42578125" style="234" customWidth="1"/>
    <col min="9989" max="9991" width="9.28515625" style="234" customWidth="1"/>
    <col min="9992" max="9992" width="19.7109375" style="234" customWidth="1"/>
    <col min="9993" max="9993" width="14.7109375" style="234" customWidth="1"/>
    <col min="9994" max="9994" width="19.7109375" style="234" customWidth="1"/>
    <col min="9995" max="10240" width="11.5703125" style="234"/>
    <col min="10241" max="10241" width="3.7109375" style="234" customWidth="1"/>
    <col min="10242" max="10242" width="10.7109375" style="234" customWidth="1"/>
    <col min="10243" max="10243" width="15.5703125" style="234" customWidth="1"/>
    <col min="10244" max="10244" width="4.42578125" style="234" customWidth="1"/>
    <col min="10245" max="10247" width="9.28515625" style="234" customWidth="1"/>
    <col min="10248" max="10248" width="19.7109375" style="234" customWidth="1"/>
    <col min="10249" max="10249" width="14.7109375" style="234" customWidth="1"/>
    <col min="10250" max="10250" width="19.7109375" style="234" customWidth="1"/>
    <col min="10251" max="10496" width="11.5703125" style="234"/>
    <col min="10497" max="10497" width="3.7109375" style="234" customWidth="1"/>
    <col min="10498" max="10498" width="10.7109375" style="234" customWidth="1"/>
    <col min="10499" max="10499" width="15.5703125" style="234" customWidth="1"/>
    <col min="10500" max="10500" width="4.42578125" style="234" customWidth="1"/>
    <col min="10501" max="10503" width="9.28515625" style="234" customWidth="1"/>
    <col min="10504" max="10504" width="19.7109375" style="234" customWidth="1"/>
    <col min="10505" max="10505" width="14.7109375" style="234" customWidth="1"/>
    <col min="10506" max="10506" width="19.7109375" style="234" customWidth="1"/>
    <col min="10507" max="10752" width="11.5703125" style="234"/>
    <col min="10753" max="10753" width="3.7109375" style="234" customWidth="1"/>
    <col min="10754" max="10754" width="10.7109375" style="234" customWidth="1"/>
    <col min="10755" max="10755" width="15.5703125" style="234" customWidth="1"/>
    <col min="10756" max="10756" width="4.42578125" style="234" customWidth="1"/>
    <col min="10757" max="10759" width="9.28515625" style="234" customWidth="1"/>
    <col min="10760" max="10760" width="19.7109375" style="234" customWidth="1"/>
    <col min="10761" max="10761" width="14.7109375" style="234" customWidth="1"/>
    <col min="10762" max="10762" width="19.7109375" style="234" customWidth="1"/>
    <col min="10763" max="11008" width="11.5703125" style="234"/>
    <col min="11009" max="11009" width="3.7109375" style="234" customWidth="1"/>
    <col min="11010" max="11010" width="10.7109375" style="234" customWidth="1"/>
    <col min="11011" max="11011" width="15.5703125" style="234" customWidth="1"/>
    <col min="11012" max="11012" width="4.42578125" style="234" customWidth="1"/>
    <col min="11013" max="11015" width="9.28515625" style="234" customWidth="1"/>
    <col min="11016" max="11016" width="19.7109375" style="234" customWidth="1"/>
    <col min="11017" max="11017" width="14.7109375" style="234" customWidth="1"/>
    <col min="11018" max="11018" width="19.7109375" style="234" customWidth="1"/>
    <col min="11019" max="11264" width="11.5703125" style="234"/>
    <col min="11265" max="11265" width="3.7109375" style="234" customWidth="1"/>
    <col min="11266" max="11266" width="10.7109375" style="234" customWidth="1"/>
    <col min="11267" max="11267" width="15.5703125" style="234" customWidth="1"/>
    <col min="11268" max="11268" width="4.42578125" style="234" customWidth="1"/>
    <col min="11269" max="11271" width="9.28515625" style="234" customWidth="1"/>
    <col min="11272" max="11272" width="19.7109375" style="234" customWidth="1"/>
    <col min="11273" max="11273" width="14.7109375" style="234" customWidth="1"/>
    <col min="11274" max="11274" width="19.7109375" style="234" customWidth="1"/>
    <col min="11275" max="11520" width="11.5703125" style="234"/>
    <col min="11521" max="11521" width="3.7109375" style="234" customWidth="1"/>
    <col min="11522" max="11522" width="10.7109375" style="234" customWidth="1"/>
    <col min="11523" max="11523" width="15.5703125" style="234" customWidth="1"/>
    <col min="11524" max="11524" width="4.42578125" style="234" customWidth="1"/>
    <col min="11525" max="11527" width="9.28515625" style="234" customWidth="1"/>
    <col min="11528" max="11528" width="19.7109375" style="234" customWidth="1"/>
    <col min="11529" max="11529" width="14.7109375" style="234" customWidth="1"/>
    <col min="11530" max="11530" width="19.7109375" style="234" customWidth="1"/>
    <col min="11531" max="11776" width="11.5703125" style="234"/>
    <col min="11777" max="11777" width="3.7109375" style="234" customWidth="1"/>
    <col min="11778" max="11778" width="10.7109375" style="234" customWidth="1"/>
    <col min="11779" max="11779" width="15.5703125" style="234" customWidth="1"/>
    <col min="11780" max="11780" width="4.42578125" style="234" customWidth="1"/>
    <col min="11781" max="11783" width="9.28515625" style="234" customWidth="1"/>
    <col min="11784" max="11784" width="19.7109375" style="234" customWidth="1"/>
    <col min="11785" max="11785" width="14.7109375" style="234" customWidth="1"/>
    <col min="11786" max="11786" width="19.7109375" style="234" customWidth="1"/>
    <col min="11787" max="12032" width="11.5703125" style="234"/>
    <col min="12033" max="12033" width="3.7109375" style="234" customWidth="1"/>
    <col min="12034" max="12034" width="10.7109375" style="234" customWidth="1"/>
    <col min="12035" max="12035" width="15.5703125" style="234" customWidth="1"/>
    <col min="12036" max="12036" width="4.42578125" style="234" customWidth="1"/>
    <col min="12037" max="12039" width="9.28515625" style="234" customWidth="1"/>
    <col min="12040" max="12040" width="19.7109375" style="234" customWidth="1"/>
    <col min="12041" max="12041" width="14.7109375" style="234" customWidth="1"/>
    <col min="12042" max="12042" width="19.7109375" style="234" customWidth="1"/>
    <col min="12043" max="12288" width="11.5703125" style="234"/>
    <col min="12289" max="12289" width="3.7109375" style="234" customWidth="1"/>
    <col min="12290" max="12290" width="10.7109375" style="234" customWidth="1"/>
    <col min="12291" max="12291" width="15.5703125" style="234" customWidth="1"/>
    <col min="12292" max="12292" width="4.42578125" style="234" customWidth="1"/>
    <col min="12293" max="12295" width="9.28515625" style="234" customWidth="1"/>
    <col min="12296" max="12296" width="19.7109375" style="234" customWidth="1"/>
    <col min="12297" max="12297" width="14.7109375" style="234" customWidth="1"/>
    <col min="12298" max="12298" width="19.7109375" style="234" customWidth="1"/>
    <col min="12299" max="12544" width="11.5703125" style="234"/>
    <col min="12545" max="12545" width="3.7109375" style="234" customWidth="1"/>
    <col min="12546" max="12546" width="10.7109375" style="234" customWidth="1"/>
    <col min="12547" max="12547" width="15.5703125" style="234" customWidth="1"/>
    <col min="12548" max="12548" width="4.42578125" style="234" customWidth="1"/>
    <col min="12549" max="12551" width="9.28515625" style="234" customWidth="1"/>
    <col min="12552" max="12552" width="19.7109375" style="234" customWidth="1"/>
    <col min="12553" max="12553" width="14.7109375" style="234" customWidth="1"/>
    <col min="12554" max="12554" width="19.7109375" style="234" customWidth="1"/>
    <col min="12555" max="12800" width="11.5703125" style="234"/>
    <col min="12801" max="12801" width="3.7109375" style="234" customWidth="1"/>
    <col min="12802" max="12802" width="10.7109375" style="234" customWidth="1"/>
    <col min="12803" max="12803" width="15.5703125" style="234" customWidth="1"/>
    <col min="12804" max="12804" width="4.42578125" style="234" customWidth="1"/>
    <col min="12805" max="12807" width="9.28515625" style="234" customWidth="1"/>
    <col min="12808" max="12808" width="19.7109375" style="234" customWidth="1"/>
    <col min="12809" max="12809" width="14.7109375" style="234" customWidth="1"/>
    <col min="12810" max="12810" width="19.7109375" style="234" customWidth="1"/>
    <col min="12811" max="13056" width="11.5703125" style="234"/>
    <col min="13057" max="13057" width="3.7109375" style="234" customWidth="1"/>
    <col min="13058" max="13058" width="10.7109375" style="234" customWidth="1"/>
    <col min="13059" max="13059" width="15.5703125" style="234" customWidth="1"/>
    <col min="13060" max="13060" width="4.42578125" style="234" customWidth="1"/>
    <col min="13061" max="13063" width="9.28515625" style="234" customWidth="1"/>
    <col min="13064" max="13064" width="19.7109375" style="234" customWidth="1"/>
    <col min="13065" max="13065" width="14.7109375" style="234" customWidth="1"/>
    <col min="13066" max="13066" width="19.7109375" style="234" customWidth="1"/>
    <col min="13067" max="13312" width="11.5703125" style="234"/>
    <col min="13313" max="13313" width="3.7109375" style="234" customWidth="1"/>
    <col min="13314" max="13314" width="10.7109375" style="234" customWidth="1"/>
    <col min="13315" max="13315" width="15.5703125" style="234" customWidth="1"/>
    <col min="13316" max="13316" width="4.42578125" style="234" customWidth="1"/>
    <col min="13317" max="13319" width="9.28515625" style="234" customWidth="1"/>
    <col min="13320" max="13320" width="19.7109375" style="234" customWidth="1"/>
    <col min="13321" max="13321" width="14.7109375" style="234" customWidth="1"/>
    <col min="13322" max="13322" width="19.7109375" style="234" customWidth="1"/>
    <col min="13323" max="13568" width="11.5703125" style="234"/>
    <col min="13569" max="13569" width="3.7109375" style="234" customWidth="1"/>
    <col min="13570" max="13570" width="10.7109375" style="234" customWidth="1"/>
    <col min="13571" max="13571" width="15.5703125" style="234" customWidth="1"/>
    <col min="13572" max="13572" width="4.42578125" style="234" customWidth="1"/>
    <col min="13573" max="13575" width="9.28515625" style="234" customWidth="1"/>
    <col min="13576" max="13576" width="19.7109375" style="234" customWidth="1"/>
    <col min="13577" max="13577" width="14.7109375" style="234" customWidth="1"/>
    <col min="13578" max="13578" width="19.7109375" style="234" customWidth="1"/>
    <col min="13579" max="13824" width="11.5703125" style="234"/>
    <col min="13825" max="13825" width="3.7109375" style="234" customWidth="1"/>
    <col min="13826" max="13826" width="10.7109375" style="234" customWidth="1"/>
    <col min="13827" max="13827" width="15.5703125" style="234" customWidth="1"/>
    <col min="13828" max="13828" width="4.42578125" style="234" customWidth="1"/>
    <col min="13829" max="13831" width="9.28515625" style="234" customWidth="1"/>
    <col min="13832" max="13832" width="19.7109375" style="234" customWidth="1"/>
    <col min="13833" max="13833" width="14.7109375" style="234" customWidth="1"/>
    <col min="13834" max="13834" width="19.7109375" style="234" customWidth="1"/>
    <col min="13835" max="14080" width="11.5703125" style="234"/>
    <col min="14081" max="14081" width="3.7109375" style="234" customWidth="1"/>
    <col min="14082" max="14082" width="10.7109375" style="234" customWidth="1"/>
    <col min="14083" max="14083" width="15.5703125" style="234" customWidth="1"/>
    <col min="14084" max="14084" width="4.42578125" style="234" customWidth="1"/>
    <col min="14085" max="14087" width="9.28515625" style="234" customWidth="1"/>
    <col min="14088" max="14088" width="19.7109375" style="234" customWidth="1"/>
    <col min="14089" max="14089" width="14.7109375" style="234" customWidth="1"/>
    <col min="14090" max="14090" width="19.7109375" style="234" customWidth="1"/>
    <col min="14091" max="14336" width="11.5703125" style="234"/>
    <col min="14337" max="14337" width="3.7109375" style="234" customWidth="1"/>
    <col min="14338" max="14338" width="10.7109375" style="234" customWidth="1"/>
    <col min="14339" max="14339" width="15.5703125" style="234" customWidth="1"/>
    <col min="14340" max="14340" width="4.42578125" style="234" customWidth="1"/>
    <col min="14341" max="14343" width="9.28515625" style="234" customWidth="1"/>
    <col min="14344" max="14344" width="19.7109375" style="234" customWidth="1"/>
    <col min="14345" max="14345" width="14.7109375" style="234" customWidth="1"/>
    <col min="14346" max="14346" width="19.7109375" style="234" customWidth="1"/>
    <col min="14347" max="14592" width="11.5703125" style="234"/>
    <col min="14593" max="14593" width="3.7109375" style="234" customWidth="1"/>
    <col min="14594" max="14594" width="10.7109375" style="234" customWidth="1"/>
    <col min="14595" max="14595" width="15.5703125" style="234" customWidth="1"/>
    <col min="14596" max="14596" width="4.42578125" style="234" customWidth="1"/>
    <col min="14597" max="14599" width="9.28515625" style="234" customWidth="1"/>
    <col min="14600" max="14600" width="19.7109375" style="234" customWidth="1"/>
    <col min="14601" max="14601" width="14.7109375" style="234" customWidth="1"/>
    <col min="14602" max="14602" width="19.7109375" style="234" customWidth="1"/>
    <col min="14603" max="14848" width="11.5703125" style="234"/>
    <col min="14849" max="14849" width="3.7109375" style="234" customWidth="1"/>
    <col min="14850" max="14850" width="10.7109375" style="234" customWidth="1"/>
    <col min="14851" max="14851" width="15.5703125" style="234" customWidth="1"/>
    <col min="14852" max="14852" width="4.42578125" style="234" customWidth="1"/>
    <col min="14853" max="14855" width="9.28515625" style="234" customWidth="1"/>
    <col min="14856" max="14856" width="19.7109375" style="234" customWidth="1"/>
    <col min="14857" max="14857" width="14.7109375" style="234" customWidth="1"/>
    <col min="14858" max="14858" width="19.7109375" style="234" customWidth="1"/>
    <col min="14859" max="15104" width="11.5703125" style="234"/>
    <col min="15105" max="15105" width="3.7109375" style="234" customWidth="1"/>
    <col min="15106" max="15106" width="10.7109375" style="234" customWidth="1"/>
    <col min="15107" max="15107" width="15.5703125" style="234" customWidth="1"/>
    <col min="15108" max="15108" width="4.42578125" style="234" customWidth="1"/>
    <col min="15109" max="15111" width="9.28515625" style="234" customWidth="1"/>
    <col min="15112" max="15112" width="19.7109375" style="234" customWidth="1"/>
    <col min="15113" max="15113" width="14.7109375" style="234" customWidth="1"/>
    <col min="15114" max="15114" width="19.7109375" style="234" customWidth="1"/>
    <col min="15115" max="15360" width="11.5703125" style="234"/>
    <col min="15361" max="15361" width="3.7109375" style="234" customWidth="1"/>
    <col min="15362" max="15362" width="10.7109375" style="234" customWidth="1"/>
    <col min="15363" max="15363" width="15.5703125" style="234" customWidth="1"/>
    <col min="15364" max="15364" width="4.42578125" style="234" customWidth="1"/>
    <col min="15365" max="15367" width="9.28515625" style="234" customWidth="1"/>
    <col min="15368" max="15368" width="19.7109375" style="234" customWidth="1"/>
    <col min="15369" max="15369" width="14.7109375" style="234" customWidth="1"/>
    <col min="15370" max="15370" width="19.7109375" style="234" customWidth="1"/>
    <col min="15371" max="15616" width="11.5703125" style="234"/>
    <col min="15617" max="15617" width="3.7109375" style="234" customWidth="1"/>
    <col min="15618" max="15618" width="10.7109375" style="234" customWidth="1"/>
    <col min="15619" max="15619" width="15.5703125" style="234" customWidth="1"/>
    <col min="15620" max="15620" width="4.42578125" style="234" customWidth="1"/>
    <col min="15621" max="15623" width="9.28515625" style="234" customWidth="1"/>
    <col min="15624" max="15624" width="19.7109375" style="234" customWidth="1"/>
    <col min="15625" max="15625" width="14.7109375" style="234" customWidth="1"/>
    <col min="15626" max="15626" width="19.7109375" style="234" customWidth="1"/>
    <col min="15627" max="15872" width="11.5703125" style="234"/>
    <col min="15873" max="15873" width="3.7109375" style="234" customWidth="1"/>
    <col min="15874" max="15874" width="10.7109375" style="234" customWidth="1"/>
    <col min="15875" max="15875" width="15.5703125" style="234" customWidth="1"/>
    <col min="15876" max="15876" width="4.42578125" style="234" customWidth="1"/>
    <col min="15877" max="15879" width="9.28515625" style="234" customWidth="1"/>
    <col min="15880" max="15880" width="19.7109375" style="234" customWidth="1"/>
    <col min="15881" max="15881" width="14.7109375" style="234" customWidth="1"/>
    <col min="15882" max="15882" width="19.7109375" style="234" customWidth="1"/>
    <col min="15883" max="16128" width="11.5703125" style="234"/>
    <col min="16129" max="16129" width="3.7109375" style="234" customWidth="1"/>
    <col min="16130" max="16130" width="10.7109375" style="234" customWidth="1"/>
    <col min="16131" max="16131" width="15.5703125" style="234" customWidth="1"/>
    <col min="16132" max="16132" width="4.42578125" style="234" customWidth="1"/>
    <col min="16133" max="16135" width="9.28515625" style="234" customWidth="1"/>
    <col min="16136" max="16136" width="19.7109375" style="234" customWidth="1"/>
    <col min="16137" max="16137" width="14.7109375" style="234" customWidth="1"/>
    <col min="16138" max="16138" width="19.7109375" style="234" customWidth="1"/>
    <col min="16139" max="16384" width="11.5703125" style="234"/>
  </cols>
  <sheetData>
    <row r="1" spans="1:9" ht="63.75" customHeight="1" x14ac:dyDescent="0.2">
      <c r="A1" s="498" t="s">
        <v>372</v>
      </c>
      <c r="B1" s="498"/>
      <c r="C1" s="498"/>
      <c r="D1" s="499" t="s">
        <v>383</v>
      </c>
      <c r="E1" s="499"/>
      <c r="F1" s="499"/>
      <c r="G1" s="499"/>
      <c r="H1" s="499"/>
      <c r="I1" s="499"/>
    </row>
    <row r="2" spans="1:9" s="237" customFormat="1" x14ac:dyDescent="0.2">
      <c r="A2" s="235"/>
      <c r="B2" s="235"/>
      <c r="C2" s="235"/>
      <c r="D2" s="236"/>
      <c r="E2" s="236"/>
      <c r="F2" s="236"/>
      <c r="G2" s="236"/>
      <c r="H2" s="236"/>
      <c r="I2" s="236"/>
    </row>
    <row r="3" spans="1:9" x14ac:dyDescent="0.2">
      <c r="A3" s="500" t="s">
        <v>426</v>
      </c>
      <c r="B3" s="500"/>
      <c r="C3" s="500"/>
      <c r="D3" s="500"/>
      <c r="E3" s="500"/>
      <c r="F3" s="500"/>
      <c r="G3" s="500"/>
      <c r="H3" s="500"/>
      <c r="I3" s="500"/>
    </row>
    <row r="4" spans="1:9" x14ac:dyDescent="0.2">
      <c r="A4" s="501" t="s">
        <v>332</v>
      </c>
      <c r="B4" s="501"/>
      <c r="C4" s="501"/>
      <c r="D4" s="501"/>
      <c r="E4" s="501"/>
      <c r="F4" s="501"/>
      <c r="G4" s="501"/>
      <c r="H4" s="501"/>
      <c r="I4" s="501"/>
    </row>
    <row r="5" spans="1:9" ht="3.75" customHeight="1" x14ac:dyDescent="0.2">
      <c r="D5" s="235"/>
      <c r="E5" s="235"/>
      <c r="F5" s="235"/>
      <c r="G5" s="235"/>
    </row>
    <row r="6" spans="1:9" ht="66" customHeight="1" x14ac:dyDescent="0.2">
      <c r="A6" s="502" t="s">
        <v>333</v>
      </c>
      <c r="B6" s="502"/>
      <c r="C6" s="502"/>
      <c r="D6" s="503" t="s">
        <v>427</v>
      </c>
      <c r="E6" s="503"/>
      <c r="F6" s="503"/>
      <c r="G6" s="503"/>
      <c r="H6" s="503"/>
      <c r="I6" s="503"/>
    </row>
    <row r="7" spans="1:9" ht="3.95" customHeight="1" x14ac:dyDescent="0.2">
      <c r="A7" s="239"/>
      <c r="B7" s="239"/>
      <c r="C7" s="239"/>
    </row>
    <row r="8" spans="1:9" ht="41.25" customHeight="1" x14ac:dyDescent="0.2">
      <c r="A8" s="460" t="s">
        <v>334</v>
      </c>
      <c r="B8" s="460"/>
      <c r="C8" s="460"/>
      <c r="D8" s="460"/>
      <c r="E8" s="460"/>
      <c r="F8" s="460"/>
      <c r="G8" s="460"/>
      <c r="H8" s="460"/>
      <c r="I8" s="460"/>
    </row>
    <row r="9" spans="1:9" ht="3.95" customHeight="1" x14ac:dyDescent="0.2"/>
    <row r="10" spans="1:9" ht="30" customHeight="1" x14ac:dyDescent="0.2">
      <c r="A10" s="460" t="s">
        <v>335</v>
      </c>
      <c r="B10" s="460"/>
      <c r="C10" s="460"/>
      <c r="D10" s="460"/>
      <c r="E10" s="460"/>
      <c r="F10" s="460"/>
      <c r="G10" s="460"/>
      <c r="H10" s="460"/>
      <c r="I10" s="460"/>
    </row>
    <row r="11" spans="1:9" ht="3.75" customHeight="1" x14ac:dyDescent="0.2">
      <c r="A11" s="240"/>
      <c r="B11" s="240"/>
      <c r="C11" s="240"/>
      <c r="D11" s="241"/>
      <c r="E11" s="241"/>
      <c r="F11" s="241"/>
      <c r="G11" s="241"/>
      <c r="H11" s="240"/>
      <c r="I11" s="240"/>
    </row>
    <row r="12" spans="1:9" ht="12.75" customHeight="1" x14ac:dyDescent="0.2">
      <c r="A12" s="494" t="s">
        <v>402</v>
      </c>
      <c r="B12" s="494"/>
      <c r="C12" s="494"/>
      <c r="D12" s="494"/>
      <c r="E12" s="494"/>
      <c r="F12" s="494"/>
      <c r="G12" s="494"/>
      <c r="H12" s="494"/>
      <c r="I12" s="494"/>
    </row>
    <row r="13" spans="1:9" ht="100.5" customHeight="1" x14ac:dyDescent="0.2">
      <c r="A13" s="242" t="s">
        <v>336</v>
      </c>
      <c r="B13" s="495" t="s">
        <v>337</v>
      </c>
      <c r="C13" s="496"/>
      <c r="D13" s="495" t="s">
        <v>338</v>
      </c>
      <c r="E13" s="497"/>
      <c r="F13" s="497"/>
      <c r="G13" s="496"/>
      <c r="H13" s="243" t="s">
        <v>339</v>
      </c>
      <c r="I13" s="242" t="s">
        <v>35</v>
      </c>
    </row>
    <row r="14" spans="1:9" x14ac:dyDescent="0.2">
      <c r="A14" s="244" t="s">
        <v>219</v>
      </c>
      <c r="B14" s="491">
        <v>2</v>
      </c>
      <c r="C14" s="492"/>
      <c r="D14" s="491">
        <v>3</v>
      </c>
      <c r="E14" s="493"/>
      <c r="F14" s="493"/>
      <c r="G14" s="492"/>
      <c r="H14" s="245">
        <v>4</v>
      </c>
      <c r="I14" s="245">
        <v>5</v>
      </c>
    </row>
    <row r="15" spans="1:9" ht="107.1" customHeight="1" x14ac:dyDescent="0.2">
      <c r="A15" s="262" t="s">
        <v>222</v>
      </c>
      <c r="B15" s="486" t="s">
        <v>405</v>
      </c>
      <c r="C15" s="487"/>
      <c r="D15" s="488" t="s">
        <v>406</v>
      </c>
      <c r="E15" s="489"/>
      <c r="F15" s="489"/>
      <c r="G15" s="490"/>
      <c r="H15" s="264" t="s">
        <v>428</v>
      </c>
      <c r="I15" s="266">
        <f>ROUND((154775  + 21429  * 12.29) * 1 * 0.6 * 6.1,0)</f>
        <v>1530383</v>
      </c>
    </row>
    <row r="16" spans="1:9" ht="15.75" customHeight="1" x14ac:dyDescent="0.2">
      <c r="A16" s="246" t="s">
        <v>340</v>
      </c>
      <c r="B16" s="483" t="s">
        <v>341</v>
      </c>
      <c r="C16" s="484"/>
      <c r="D16" s="483"/>
      <c r="E16" s="485"/>
      <c r="F16" s="485"/>
      <c r="G16" s="484"/>
      <c r="H16" s="247"/>
      <c r="I16" s="248"/>
    </row>
    <row r="17" spans="1:9" ht="25.5" customHeight="1" x14ac:dyDescent="0.2">
      <c r="A17" s="249" t="s">
        <v>340</v>
      </c>
      <c r="B17" s="475" t="s">
        <v>361</v>
      </c>
      <c r="C17" s="476"/>
      <c r="D17" s="475" t="s">
        <v>362</v>
      </c>
      <c r="E17" s="477"/>
      <c r="F17" s="477"/>
      <c r="G17" s="476"/>
      <c r="H17" s="250"/>
      <c r="I17" s="251"/>
    </row>
    <row r="18" spans="1:9" ht="12.75" customHeight="1" x14ac:dyDescent="0.2">
      <c r="A18" s="252" t="s">
        <v>340</v>
      </c>
      <c r="B18" s="469" t="s">
        <v>344</v>
      </c>
      <c r="C18" s="470"/>
      <c r="D18" s="469" t="s">
        <v>404</v>
      </c>
      <c r="E18" s="471"/>
      <c r="F18" s="471"/>
      <c r="G18" s="470"/>
      <c r="H18" s="253"/>
      <c r="I18" s="254"/>
    </row>
    <row r="19" spans="1:9" ht="107.1" customHeight="1" x14ac:dyDescent="0.2">
      <c r="A19" s="262" t="s">
        <v>226</v>
      </c>
      <c r="B19" s="486" t="s">
        <v>408</v>
      </c>
      <c r="C19" s="487"/>
      <c r="D19" s="488" t="s">
        <v>409</v>
      </c>
      <c r="E19" s="489"/>
      <c r="F19" s="489"/>
      <c r="G19" s="490"/>
      <c r="H19" s="264" t="s">
        <v>429</v>
      </c>
      <c r="I19" s="266">
        <f>ROUND((114205 + 25486  * 7.35) * 1 * 0.6 * 6.1,0)</f>
        <v>1103589</v>
      </c>
    </row>
    <row r="20" spans="1:9" ht="15.75" customHeight="1" x14ac:dyDescent="0.2">
      <c r="A20" s="246" t="s">
        <v>340</v>
      </c>
      <c r="B20" s="483" t="s">
        <v>341</v>
      </c>
      <c r="C20" s="484"/>
      <c r="D20" s="483"/>
      <c r="E20" s="485"/>
      <c r="F20" s="485"/>
      <c r="G20" s="484"/>
      <c r="H20" s="247"/>
      <c r="I20" s="248"/>
    </row>
    <row r="21" spans="1:9" ht="25.5" customHeight="1" x14ac:dyDescent="0.2">
      <c r="A21" s="249" t="s">
        <v>340</v>
      </c>
      <c r="B21" s="475" t="s">
        <v>430</v>
      </c>
      <c r="C21" s="476"/>
      <c r="D21" s="475" t="s">
        <v>362</v>
      </c>
      <c r="E21" s="477"/>
      <c r="F21" s="477"/>
      <c r="G21" s="476"/>
      <c r="H21" s="250"/>
      <c r="I21" s="251"/>
    </row>
    <row r="22" spans="1:9" ht="12.75" customHeight="1" x14ac:dyDescent="0.2">
      <c r="A22" s="252" t="s">
        <v>340</v>
      </c>
      <c r="B22" s="469" t="s">
        <v>344</v>
      </c>
      <c r="C22" s="470"/>
      <c r="D22" s="469" t="s">
        <v>404</v>
      </c>
      <c r="E22" s="471"/>
      <c r="F22" s="471"/>
      <c r="G22" s="470"/>
      <c r="H22" s="253"/>
      <c r="I22" s="254"/>
    </row>
    <row r="23" spans="1:9" ht="107.1" customHeight="1" x14ac:dyDescent="0.2">
      <c r="A23" s="262" t="s">
        <v>231</v>
      </c>
      <c r="B23" s="486" t="s">
        <v>411</v>
      </c>
      <c r="C23" s="487"/>
      <c r="D23" s="488" t="s">
        <v>412</v>
      </c>
      <c r="E23" s="489"/>
      <c r="F23" s="489"/>
      <c r="G23" s="490"/>
      <c r="H23" s="264" t="s">
        <v>431</v>
      </c>
      <c r="I23" s="266">
        <f>ROUND((101469  + 28670  * 3.5) * 1 * 0.6 * 6.1 * 0.9,0)</f>
        <v>664775</v>
      </c>
    </row>
    <row r="24" spans="1:9" ht="15.75" customHeight="1" x14ac:dyDescent="0.2">
      <c r="A24" s="246" t="s">
        <v>340</v>
      </c>
      <c r="B24" s="483" t="s">
        <v>341</v>
      </c>
      <c r="C24" s="484"/>
      <c r="D24" s="483"/>
      <c r="E24" s="485"/>
      <c r="F24" s="485"/>
      <c r="G24" s="484"/>
      <c r="H24" s="247"/>
      <c r="I24" s="248"/>
    </row>
    <row r="25" spans="1:9" ht="25.5" customHeight="1" x14ac:dyDescent="0.2">
      <c r="A25" s="249" t="s">
        <v>340</v>
      </c>
      <c r="B25" s="475" t="s">
        <v>430</v>
      </c>
      <c r="C25" s="476"/>
      <c r="D25" s="475" t="s">
        <v>362</v>
      </c>
      <c r="E25" s="477"/>
      <c r="F25" s="477"/>
      <c r="G25" s="476"/>
      <c r="H25" s="250"/>
      <c r="I25" s="251"/>
    </row>
    <row r="26" spans="1:9" ht="12.75" customHeight="1" x14ac:dyDescent="0.2">
      <c r="A26" s="249" t="s">
        <v>340</v>
      </c>
      <c r="B26" s="475" t="s">
        <v>344</v>
      </c>
      <c r="C26" s="476"/>
      <c r="D26" s="475" t="s">
        <v>404</v>
      </c>
      <c r="E26" s="477"/>
      <c r="F26" s="477"/>
      <c r="G26" s="476"/>
      <c r="H26" s="250"/>
      <c r="I26" s="251"/>
    </row>
    <row r="27" spans="1:9" ht="63.75" customHeight="1" x14ac:dyDescent="0.2">
      <c r="A27" s="252" t="s">
        <v>340</v>
      </c>
      <c r="B27" s="469" t="s">
        <v>345</v>
      </c>
      <c r="C27" s="470"/>
      <c r="D27" s="469" t="s">
        <v>346</v>
      </c>
      <c r="E27" s="471"/>
      <c r="F27" s="471"/>
      <c r="G27" s="470"/>
      <c r="H27" s="253"/>
      <c r="I27" s="254"/>
    </row>
    <row r="28" spans="1:9" ht="107.1" customHeight="1" x14ac:dyDescent="0.2">
      <c r="A28" s="262" t="s">
        <v>234</v>
      </c>
      <c r="B28" s="486" t="s">
        <v>414</v>
      </c>
      <c r="C28" s="487"/>
      <c r="D28" s="488" t="s">
        <v>415</v>
      </c>
      <c r="E28" s="489"/>
      <c r="F28" s="489"/>
      <c r="G28" s="490"/>
      <c r="H28" s="264" t="s">
        <v>432</v>
      </c>
      <c r="I28" s="266">
        <f>ROUND((101469  + 28670  * 3.24) * 1 * 0.6 * 6.1 * 0.9,0)</f>
        <v>640221</v>
      </c>
    </row>
    <row r="29" spans="1:9" ht="15.75" customHeight="1" x14ac:dyDescent="0.2">
      <c r="A29" s="246" t="s">
        <v>340</v>
      </c>
      <c r="B29" s="483" t="s">
        <v>341</v>
      </c>
      <c r="C29" s="484"/>
      <c r="D29" s="483"/>
      <c r="E29" s="485"/>
      <c r="F29" s="485"/>
      <c r="G29" s="484"/>
      <c r="H29" s="247"/>
      <c r="I29" s="248"/>
    </row>
    <row r="30" spans="1:9" ht="25.5" customHeight="1" x14ac:dyDescent="0.2">
      <c r="A30" s="249" t="s">
        <v>340</v>
      </c>
      <c r="B30" s="475" t="s">
        <v>430</v>
      </c>
      <c r="C30" s="476"/>
      <c r="D30" s="475" t="s">
        <v>362</v>
      </c>
      <c r="E30" s="477"/>
      <c r="F30" s="477"/>
      <c r="G30" s="476"/>
      <c r="H30" s="250"/>
      <c r="I30" s="251"/>
    </row>
    <row r="31" spans="1:9" ht="12.75" customHeight="1" x14ac:dyDescent="0.2">
      <c r="A31" s="249" t="s">
        <v>340</v>
      </c>
      <c r="B31" s="475" t="s">
        <v>344</v>
      </c>
      <c r="C31" s="476"/>
      <c r="D31" s="475" t="s">
        <v>404</v>
      </c>
      <c r="E31" s="477"/>
      <c r="F31" s="477"/>
      <c r="G31" s="476"/>
      <c r="H31" s="250"/>
      <c r="I31" s="251"/>
    </row>
    <row r="32" spans="1:9" ht="63.75" customHeight="1" x14ac:dyDescent="0.2">
      <c r="A32" s="252" t="s">
        <v>340</v>
      </c>
      <c r="B32" s="469" t="s">
        <v>345</v>
      </c>
      <c r="C32" s="470"/>
      <c r="D32" s="469" t="s">
        <v>346</v>
      </c>
      <c r="E32" s="471"/>
      <c r="F32" s="471"/>
      <c r="G32" s="470"/>
      <c r="H32" s="253"/>
      <c r="I32" s="254"/>
    </row>
    <row r="33" spans="1:9" ht="107.1" customHeight="1" x14ac:dyDescent="0.2">
      <c r="A33" s="262" t="s">
        <v>237</v>
      </c>
      <c r="B33" s="486" t="s">
        <v>387</v>
      </c>
      <c r="C33" s="487"/>
      <c r="D33" s="488" t="s">
        <v>388</v>
      </c>
      <c r="E33" s="489"/>
      <c r="F33" s="489"/>
      <c r="G33" s="490"/>
      <c r="H33" s="264" t="s">
        <v>433</v>
      </c>
      <c r="I33" s="266">
        <f>ROUND(40828  * 1 * 0.6 * 6.1,0)</f>
        <v>149430</v>
      </c>
    </row>
    <row r="34" spans="1:9" ht="15.75" customHeight="1" x14ac:dyDescent="0.2">
      <c r="A34" s="246" t="s">
        <v>340</v>
      </c>
      <c r="B34" s="483" t="s">
        <v>341</v>
      </c>
      <c r="C34" s="484"/>
      <c r="D34" s="483"/>
      <c r="E34" s="485"/>
      <c r="F34" s="485"/>
      <c r="G34" s="484"/>
      <c r="H34" s="247"/>
      <c r="I34" s="248"/>
    </row>
    <row r="35" spans="1:9" ht="25.5" customHeight="1" x14ac:dyDescent="0.2">
      <c r="A35" s="249" t="s">
        <v>340</v>
      </c>
      <c r="B35" s="475" t="s">
        <v>430</v>
      </c>
      <c r="C35" s="476"/>
      <c r="D35" s="475" t="s">
        <v>362</v>
      </c>
      <c r="E35" s="477"/>
      <c r="F35" s="477"/>
      <c r="G35" s="476"/>
      <c r="H35" s="250"/>
      <c r="I35" s="251"/>
    </row>
    <row r="36" spans="1:9" ht="12.75" customHeight="1" x14ac:dyDescent="0.2">
      <c r="A36" s="252" t="s">
        <v>340</v>
      </c>
      <c r="B36" s="469" t="s">
        <v>344</v>
      </c>
      <c r="C36" s="470"/>
      <c r="D36" s="469" t="s">
        <v>404</v>
      </c>
      <c r="E36" s="471"/>
      <c r="F36" s="471"/>
      <c r="G36" s="470"/>
      <c r="H36" s="253"/>
      <c r="I36" s="254"/>
    </row>
    <row r="37" spans="1:9" ht="107.1" customHeight="1" x14ac:dyDescent="0.2">
      <c r="A37" s="262" t="s">
        <v>242</v>
      </c>
      <c r="B37" s="486" t="s">
        <v>389</v>
      </c>
      <c r="C37" s="487"/>
      <c r="D37" s="488" t="s">
        <v>388</v>
      </c>
      <c r="E37" s="489"/>
      <c r="F37" s="489"/>
      <c r="G37" s="490"/>
      <c r="H37" s="264" t="s">
        <v>417</v>
      </c>
      <c r="I37" s="266">
        <f>ROUND(40828  * 1 * 0.4 * 6.1,0)</f>
        <v>99620</v>
      </c>
    </row>
    <row r="38" spans="1:9" ht="15.75" customHeight="1" x14ac:dyDescent="0.2">
      <c r="A38" s="246" t="s">
        <v>340</v>
      </c>
      <c r="B38" s="483" t="s">
        <v>341</v>
      </c>
      <c r="C38" s="484"/>
      <c r="D38" s="483"/>
      <c r="E38" s="485"/>
      <c r="F38" s="485"/>
      <c r="G38" s="484"/>
      <c r="H38" s="247"/>
      <c r="I38" s="248"/>
    </row>
    <row r="39" spans="1:9" ht="25.5" customHeight="1" x14ac:dyDescent="0.2">
      <c r="A39" s="249" t="s">
        <v>340</v>
      </c>
      <c r="B39" s="475" t="s">
        <v>430</v>
      </c>
      <c r="C39" s="476"/>
      <c r="D39" s="475" t="s">
        <v>343</v>
      </c>
      <c r="E39" s="477"/>
      <c r="F39" s="477"/>
      <c r="G39" s="476"/>
      <c r="H39" s="250"/>
      <c r="I39" s="251"/>
    </row>
    <row r="40" spans="1:9" ht="12.75" customHeight="1" x14ac:dyDescent="0.2">
      <c r="A40" s="252" t="s">
        <v>340</v>
      </c>
      <c r="B40" s="469" t="s">
        <v>344</v>
      </c>
      <c r="C40" s="470"/>
      <c r="D40" s="469" t="s">
        <v>404</v>
      </c>
      <c r="E40" s="471"/>
      <c r="F40" s="471"/>
      <c r="G40" s="470"/>
      <c r="H40" s="253"/>
      <c r="I40" s="254"/>
    </row>
    <row r="41" spans="1:9" ht="107.1" customHeight="1" x14ac:dyDescent="0.2">
      <c r="A41" s="262" t="s">
        <v>245</v>
      </c>
      <c r="B41" s="486" t="s">
        <v>390</v>
      </c>
      <c r="C41" s="487"/>
      <c r="D41" s="488" t="s">
        <v>391</v>
      </c>
      <c r="E41" s="489"/>
      <c r="F41" s="489"/>
      <c r="G41" s="490"/>
      <c r="H41" s="264" t="s">
        <v>434</v>
      </c>
      <c r="I41" s="266">
        <f>ROUND(11768  * 2 * 0.6 * 6.1,0)</f>
        <v>86142</v>
      </c>
    </row>
    <row r="42" spans="1:9" ht="15.75" customHeight="1" x14ac:dyDescent="0.2">
      <c r="A42" s="246" t="s">
        <v>340</v>
      </c>
      <c r="B42" s="483" t="s">
        <v>341</v>
      </c>
      <c r="C42" s="484"/>
      <c r="D42" s="483"/>
      <c r="E42" s="485"/>
      <c r="F42" s="485"/>
      <c r="G42" s="484"/>
      <c r="H42" s="247"/>
      <c r="I42" s="248"/>
    </row>
    <row r="43" spans="1:9" ht="25.5" customHeight="1" x14ac:dyDescent="0.2">
      <c r="A43" s="249" t="s">
        <v>340</v>
      </c>
      <c r="B43" s="475" t="s">
        <v>342</v>
      </c>
      <c r="C43" s="476"/>
      <c r="D43" s="475" t="s">
        <v>362</v>
      </c>
      <c r="E43" s="477"/>
      <c r="F43" s="477"/>
      <c r="G43" s="476"/>
      <c r="H43" s="250"/>
      <c r="I43" s="251"/>
    </row>
    <row r="44" spans="1:9" ht="12.75" customHeight="1" x14ac:dyDescent="0.2">
      <c r="A44" s="252" t="s">
        <v>340</v>
      </c>
      <c r="B44" s="469" t="s">
        <v>344</v>
      </c>
      <c r="C44" s="470"/>
      <c r="D44" s="469" t="s">
        <v>419</v>
      </c>
      <c r="E44" s="471"/>
      <c r="F44" s="471"/>
      <c r="G44" s="470"/>
      <c r="H44" s="253"/>
      <c r="I44" s="254"/>
    </row>
    <row r="45" spans="1:9" ht="107.1" customHeight="1" x14ac:dyDescent="0.2">
      <c r="A45" s="262" t="s">
        <v>251</v>
      </c>
      <c r="B45" s="486" t="s">
        <v>347</v>
      </c>
      <c r="C45" s="487"/>
      <c r="D45" s="488" t="s">
        <v>392</v>
      </c>
      <c r="E45" s="489"/>
      <c r="F45" s="489"/>
      <c r="G45" s="490"/>
      <c r="H45" s="264" t="s">
        <v>435</v>
      </c>
      <c r="I45" s="266">
        <f>ROUND(144911  * 2 * 0.6 * 6.1 * 0.09,0)</f>
        <v>95467</v>
      </c>
    </row>
    <row r="46" spans="1:9" ht="15.75" customHeight="1" x14ac:dyDescent="0.2">
      <c r="A46" s="246" t="s">
        <v>340</v>
      </c>
      <c r="B46" s="483" t="s">
        <v>341</v>
      </c>
      <c r="C46" s="484"/>
      <c r="D46" s="483"/>
      <c r="E46" s="485"/>
      <c r="F46" s="485"/>
      <c r="G46" s="484"/>
      <c r="H46" s="247"/>
      <c r="I46" s="248"/>
    </row>
    <row r="47" spans="1:9" ht="25.5" customHeight="1" x14ac:dyDescent="0.2">
      <c r="A47" s="249" t="s">
        <v>340</v>
      </c>
      <c r="B47" s="475" t="s">
        <v>430</v>
      </c>
      <c r="C47" s="476"/>
      <c r="D47" s="475" t="s">
        <v>362</v>
      </c>
      <c r="E47" s="477"/>
      <c r="F47" s="477"/>
      <c r="G47" s="476"/>
      <c r="H47" s="250"/>
      <c r="I47" s="251"/>
    </row>
    <row r="48" spans="1:9" ht="12.75" customHeight="1" x14ac:dyDescent="0.2">
      <c r="A48" s="249" t="s">
        <v>340</v>
      </c>
      <c r="B48" s="475" t="s">
        <v>344</v>
      </c>
      <c r="C48" s="476"/>
      <c r="D48" s="475" t="s">
        <v>404</v>
      </c>
      <c r="E48" s="477"/>
      <c r="F48" s="477"/>
      <c r="G48" s="476"/>
      <c r="H48" s="250"/>
      <c r="I48" s="251"/>
    </row>
    <row r="49" spans="1:9" ht="25.5" customHeight="1" x14ac:dyDescent="0.2">
      <c r="A49" s="252" t="s">
        <v>340</v>
      </c>
      <c r="B49" s="469" t="s">
        <v>374</v>
      </c>
      <c r="C49" s="470"/>
      <c r="D49" s="469" t="s">
        <v>375</v>
      </c>
      <c r="E49" s="471"/>
      <c r="F49" s="471"/>
      <c r="G49" s="470"/>
      <c r="H49" s="253"/>
      <c r="I49" s="254"/>
    </row>
    <row r="50" spans="1:9" ht="107.1" customHeight="1" x14ac:dyDescent="0.2">
      <c r="A50" s="262" t="s">
        <v>255</v>
      </c>
      <c r="B50" s="486" t="s">
        <v>348</v>
      </c>
      <c r="C50" s="487"/>
      <c r="D50" s="488" t="s">
        <v>392</v>
      </c>
      <c r="E50" s="489"/>
      <c r="F50" s="489"/>
      <c r="G50" s="490"/>
      <c r="H50" s="264" t="s">
        <v>436</v>
      </c>
      <c r="I50" s="266">
        <f>ROUND(144911  * 2 * 0.6 * 6.1 * 0.08,0)</f>
        <v>84860</v>
      </c>
    </row>
    <row r="51" spans="1:9" ht="15.75" customHeight="1" x14ac:dyDescent="0.2">
      <c r="A51" s="246" t="s">
        <v>340</v>
      </c>
      <c r="B51" s="483" t="s">
        <v>341</v>
      </c>
      <c r="C51" s="484"/>
      <c r="D51" s="483"/>
      <c r="E51" s="485"/>
      <c r="F51" s="485"/>
      <c r="G51" s="484"/>
      <c r="H51" s="247"/>
      <c r="I51" s="248"/>
    </row>
    <row r="52" spans="1:9" ht="25.5" customHeight="1" x14ac:dyDescent="0.2">
      <c r="A52" s="249" t="s">
        <v>340</v>
      </c>
      <c r="B52" s="475" t="s">
        <v>361</v>
      </c>
      <c r="C52" s="476"/>
      <c r="D52" s="475" t="s">
        <v>362</v>
      </c>
      <c r="E52" s="477"/>
      <c r="F52" s="477"/>
      <c r="G52" s="476"/>
      <c r="H52" s="250"/>
      <c r="I52" s="251"/>
    </row>
    <row r="53" spans="1:9" ht="12.75" customHeight="1" x14ac:dyDescent="0.2">
      <c r="A53" s="249" t="s">
        <v>340</v>
      </c>
      <c r="B53" s="475" t="s">
        <v>344</v>
      </c>
      <c r="C53" s="476"/>
      <c r="D53" s="475" t="s">
        <v>404</v>
      </c>
      <c r="E53" s="477"/>
      <c r="F53" s="477"/>
      <c r="G53" s="476"/>
      <c r="H53" s="250"/>
      <c r="I53" s="251"/>
    </row>
    <row r="54" spans="1:9" ht="25.5" customHeight="1" x14ac:dyDescent="0.2">
      <c r="A54" s="252" t="s">
        <v>340</v>
      </c>
      <c r="B54" s="469" t="s">
        <v>376</v>
      </c>
      <c r="C54" s="470"/>
      <c r="D54" s="469" t="s">
        <v>377</v>
      </c>
      <c r="E54" s="471"/>
      <c r="F54" s="471"/>
      <c r="G54" s="470"/>
      <c r="H54" s="253"/>
      <c r="I54" s="254"/>
    </row>
    <row r="55" spans="1:9" ht="94.35" customHeight="1" x14ac:dyDescent="0.2">
      <c r="A55" s="262" t="s">
        <v>258</v>
      </c>
      <c r="B55" s="486" t="s">
        <v>349</v>
      </c>
      <c r="C55" s="487"/>
      <c r="D55" s="488" t="s">
        <v>393</v>
      </c>
      <c r="E55" s="489"/>
      <c r="F55" s="489"/>
      <c r="G55" s="490"/>
      <c r="H55" s="264" t="s">
        <v>437</v>
      </c>
      <c r="I55" s="266">
        <f>ROUND(20435  * 2 * 0.6 * 6.1,0)</f>
        <v>149584</v>
      </c>
    </row>
    <row r="56" spans="1:9" ht="15.75" customHeight="1" x14ac:dyDescent="0.2">
      <c r="A56" s="246" t="s">
        <v>340</v>
      </c>
      <c r="B56" s="483" t="s">
        <v>341</v>
      </c>
      <c r="C56" s="484"/>
      <c r="D56" s="483"/>
      <c r="E56" s="485"/>
      <c r="F56" s="485"/>
      <c r="G56" s="484"/>
      <c r="H56" s="247"/>
      <c r="I56" s="248"/>
    </row>
    <row r="57" spans="1:9" ht="25.5" customHeight="1" x14ac:dyDescent="0.2">
      <c r="A57" s="249" t="s">
        <v>340</v>
      </c>
      <c r="B57" s="475" t="s">
        <v>430</v>
      </c>
      <c r="C57" s="476"/>
      <c r="D57" s="475" t="s">
        <v>362</v>
      </c>
      <c r="E57" s="477"/>
      <c r="F57" s="477"/>
      <c r="G57" s="476"/>
      <c r="H57" s="250"/>
      <c r="I57" s="251"/>
    </row>
    <row r="58" spans="1:9" ht="12.75" customHeight="1" x14ac:dyDescent="0.2">
      <c r="A58" s="252" t="s">
        <v>340</v>
      </c>
      <c r="B58" s="469" t="s">
        <v>344</v>
      </c>
      <c r="C58" s="470"/>
      <c r="D58" s="469" t="s">
        <v>404</v>
      </c>
      <c r="E58" s="471"/>
      <c r="F58" s="471"/>
      <c r="G58" s="470"/>
      <c r="H58" s="253"/>
      <c r="I58" s="254"/>
    </row>
    <row r="59" spans="1:9" ht="12.75" customHeight="1" x14ac:dyDescent="0.2">
      <c r="A59" s="252" t="s">
        <v>268</v>
      </c>
      <c r="B59" s="472" t="s">
        <v>358</v>
      </c>
      <c r="C59" s="473"/>
      <c r="D59" s="472"/>
      <c r="E59" s="474"/>
      <c r="F59" s="474"/>
      <c r="G59" s="473"/>
      <c r="H59" s="255"/>
      <c r="I59" s="268">
        <f>ROUND((SUM($I$15:$I$58)),0)</f>
        <v>4604071</v>
      </c>
    </row>
    <row r="60" spans="1:9" ht="25.5" customHeight="1" x14ac:dyDescent="0.2">
      <c r="A60" s="256" t="s">
        <v>269</v>
      </c>
      <c r="B60" s="463" t="s">
        <v>380</v>
      </c>
      <c r="C60" s="464"/>
      <c r="D60" s="463"/>
      <c r="E60" s="465"/>
      <c r="F60" s="465"/>
      <c r="G60" s="464"/>
      <c r="H60" s="257" t="s">
        <v>394</v>
      </c>
      <c r="I60" s="269">
        <f>ROUND(($I$59) * 15 / 100 * 1,0)</f>
        <v>690611</v>
      </c>
    </row>
    <row r="61" spans="1:9" ht="12.75" customHeight="1" x14ac:dyDescent="0.2">
      <c r="A61" s="256" t="s">
        <v>140</v>
      </c>
      <c r="B61" s="463" t="s">
        <v>42</v>
      </c>
      <c r="C61" s="464"/>
      <c r="D61" s="463"/>
      <c r="E61" s="465"/>
      <c r="F61" s="465"/>
      <c r="G61" s="464"/>
      <c r="H61" s="257" t="s">
        <v>395</v>
      </c>
      <c r="I61" s="269">
        <f>ROUND((SUM($I$59:$I$60)),0)</f>
        <v>5294682</v>
      </c>
    </row>
    <row r="62" spans="1:9" ht="12.75" customHeight="1" x14ac:dyDescent="0.2">
      <c r="A62" s="256" t="s">
        <v>272</v>
      </c>
      <c r="B62" s="463" t="s">
        <v>359</v>
      </c>
      <c r="C62" s="464"/>
      <c r="D62" s="463"/>
      <c r="E62" s="465"/>
      <c r="F62" s="465"/>
      <c r="G62" s="464"/>
      <c r="H62" s="257" t="s">
        <v>396</v>
      </c>
      <c r="I62" s="270">
        <f>ROUND(($I$61) * 20 / 100 * 1,2)</f>
        <v>1058936.3999999999</v>
      </c>
    </row>
    <row r="63" spans="1:9" ht="12.75" customHeight="1" x14ac:dyDescent="0.2">
      <c r="A63" s="256" t="s">
        <v>275</v>
      </c>
      <c r="B63" s="466" t="s">
        <v>360</v>
      </c>
      <c r="C63" s="467"/>
      <c r="D63" s="466"/>
      <c r="E63" s="468"/>
      <c r="F63" s="468"/>
      <c r="G63" s="467"/>
      <c r="H63" s="258"/>
      <c r="I63" s="271">
        <f>ROUND((SUM($I$61:$I$62)),2)</f>
        <v>6353618.4000000004</v>
      </c>
    </row>
    <row r="64" spans="1:9" ht="12.75" customHeight="1" x14ac:dyDescent="0.2"/>
    <row r="65" spans="1:9" s="259" customFormat="1" ht="24.95" customHeight="1" x14ac:dyDescent="0.2">
      <c r="A65" s="460"/>
      <c r="B65" s="460"/>
      <c r="C65" s="460"/>
      <c r="D65" s="460"/>
      <c r="E65" s="460"/>
      <c r="F65" s="460"/>
      <c r="G65" s="460"/>
      <c r="H65" s="460"/>
      <c r="I65" s="460"/>
    </row>
    <row r="66" spans="1:9" x14ac:dyDescent="0.2">
      <c r="A66" s="272"/>
      <c r="B66" s="272"/>
      <c r="C66" s="272"/>
      <c r="D66" s="272"/>
      <c r="E66" s="272"/>
      <c r="F66" s="272"/>
      <c r="G66" s="272"/>
      <c r="H66" s="272"/>
      <c r="I66" s="272"/>
    </row>
    <row r="67" spans="1:9" s="238" customFormat="1" ht="12.75" customHeight="1" x14ac:dyDescent="0.2">
      <c r="A67" s="461"/>
      <c r="B67" s="461"/>
      <c r="C67" s="461"/>
      <c r="D67" s="461"/>
      <c r="E67" s="461"/>
      <c r="F67" s="461"/>
      <c r="G67" s="461"/>
      <c r="H67" s="461"/>
      <c r="I67" s="461"/>
    </row>
    <row r="68" spans="1:9" s="260" customFormat="1" ht="12.75" customHeight="1" x14ac:dyDescent="0.2">
      <c r="A68" s="462"/>
      <c r="B68" s="462"/>
      <c r="C68" s="462"/>
      <c r="D68" s="462"/>
      <c r="E68" s="462"/>
      <c r="F68" s="462"/>
      <c r="G68" s="462"/>
      <c r="H68" s="462"/>
      <c r="I68" s="462"/>
    </row>
    <row r="69" spans="1:9" x14ac:dyDescent="0.2">
      <c r="A69" s="272"/>
      <c r="B69" s="272"/>
      <c r="C69" s="272"/>
      <c r="D69" s="272"/>
      <c r="E69" s="272"/>
      <c r="F69" s="272"/>
      <c r="G69" s="272"/>
      <c r="H69" s="272"/>
      <c r="I69" s="272"/>
    </row>
  </sheetData>
  <mergeCells count="117">
    <mergeCell ref="A67:I67"/>
    <mergeCell ref="A68:I68"/>
    <mergeCell ref="B62:C62"/>
    <mergeCell ref="D62:G62"/>
    <mergeCell ref="B63:C63"/>
    <mergeCell ref="D63:G63"/>
    <mergeCell ref="A65:C65"/>
    <mergeCell ref="D65:I65"/>
    <mergeCell ref="B59:C59"/>
    <mergeCell ref="D59:G59"/>
    <mergeCell ref="B60:C60"/>
    <mergeCell ref="D60:G60"/>
    <mergeCell ref="B61:C61"/>
    <mergeCell ref="D61:G61"/>
    <mergeCell ref="B56:C56"/>
    <mergeCell ref="D56:G56"/>
    <mergeCell ref="B57:C57"/>
    <mergeCell ref="D57:G57"/>
    <mergeCell ref="B58:C58"/>
    <mergeCell ref="D58:G58"/>
    <mergeCell ref="B53:C53"/>
    <mergeCell ref="D53:G53"/>
    <mergeCell ref="B54:C54"/>
    <mergeCell ref="D54:G54"/>
    <mergeCell ref="B55:C55"/>
    <mergeCell ref="D55:G55"/>
    <mergeCell ref="B50:C50"/>
    <mergeCell ref="D50:G50"/>
    <mergeCell ref="B51:C51"/>
    <mergeCell ref="D51:G51"/>
    <mergeCell ref="B52:C52"/>
    <mergeCell ref="D52:G52"/>
    <mergeCell ref="B47:C47"/>
    <mergeCell ref="D47:G47"/>
    <mergeCell ref="B48:C48"/>
    <mergeCell ref="D48:G48"/>
    <mergeCell ref="B49:C49"/>
    <mergeCell ref="D49:G49"/>
    <mergeCell ref="B44:C44"/>
    <mergeCell ref="D44:G44"/>
    <mergeCell ref="B45:C45"/>
    <mergeCell ref="D45:G45"/>
    <mergeCell ref="B46:C46"/>
    <mergeCell ref="D46:G46"/>
    <mergeCell ref="B41:C41"/>
    <mergeCell ref="D41:G41"/>
    <mergeCell ref="B42:C42"/>
    <mergeCell ref="D42:G42"/>
    <mergeCell ref="B43:C43"/>
    <mergeCell ref="D43:G43"/>
    <mergeCell ref="B38:C38"/>
    <mergeCell ref="D38:G38"/>
    <mergeCell ref="B39:C39"/>
    <mergeCell ref="D39:G39"/>
    <mergeCell ref="B40:C40"/>
    <mergeCell ref="D40:G40"/>
    <mergeCell ref="B35:C35"/>
    <mergeCell ref="D35:G35"/>
    <mergeCell ref="B36:C36"/>
    <mergeCell ref="D36:G36"/>
    <mergeCell ref="B37:C37"/>
    <mergeCell ref="D37:G37"/>
    <mergeCell ref="B32:C32"/>
    <mergeCell ref="D32:G32"/>
    <mergeCell ref="B33:C33"/>
    <mergeCell ref="D33:G33"/>
    <mergeCell ref="B34:C34"/>
    <mergeCell ref="D34:G34"/>
    <mergeCell ref="B29:C29"/>
    <mergeCell ref="D29:G29"/>
    <mergeCell ref="B30:C30"/>
    <mergeCell ref="D30:G30"/>
    <mergeCell ref="B31:C31"/>
    <mergeCell ref="D31:G31"/>
    <mergeCell ref="B26:C26"/>
    <mergeCell ref="D26:G26"/>
    <mergeCell ref="B27:C27"/>
    <mergeCell ref="D27:G27"/>
    <mergeCell ref="B28:C28"/>
    <mergeCell ref="D28:G28"/>
    <mergeCell ref="B23:C23"/>
    <mergeCell ref="D23:G23"/>
    <mergeCell ref="B24:C24"/>
    <mergeCell ref="D24:G24"/>
    <mergeCell ref="B25:C25"/>
    <mergeCell ref="D25:G25"/>
    <mergeCell ref="B20:C20"/>
    <mergeCell ref="D20:G20"/>
    <mergeCell ref="B21:C21"/>
    <mergeCell ref="D21:G21"/>
    <mergeCell ref="B22:C22"/>
    <mergeCell ref="D22:G22"/>
    <mergeCell ref="B17:C17"/>
    <mergeCell ref="D17:G17"/>
    <mergeCell ref="B18:C18"/>
    <mergeCell ref="D18:G18"/>
    <mergeCell ref="B19:C19"/>
    <mergeCell ref="D19:G19"/>
    <mergeCell ref="B14:C14"/>
    <mergeCell ref="D14:G14"/>
    <mergeCell ref="B15:C15"/>
    <mergeCell ref="D15:G15"/>
    <mergeCell ref="B16:C16"/>
    <mergeCell ref="D16:G16"/>
    <mergeCell ref="A8:C8"/>
    <mergeCell ref="D8:I8"/>
    <mergeCell ref="A10:C10"/>
    <mergeCell ref="D10:I10"/>
    <mergeCell ref="A12:I12"/>
    <mergeCell ref="B13:C13"/>
    <mergeCell ref="D13:G13"/>
    <mergeCell ref="A1:C1"/>
    <mergeCell ref="D1:I1"/>
    <mergeCell ref="A3:I3"/>
    <mergeCell ref="A4:I4"/>
    <mergeCell ref="A6:C6"/>
    <mergeCell ref="D6:I6"/>
  </mergeCells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Свод </vt:lpstr>
      <vt:lpstr>Геодезия</vt:lpstr>
      <vt:lpstr>Геология</vt:lpstr>
      <vt:lpstr>Экология</vt:lpstr>
      <vt:lpstr>Гидрометеорология</vt:lpstr>
      <vt:lpstr>ППТ и ПМТ</vt:lpstr>
      <vt:lpstr>археология</vt:lpstr>
      <vt:lpstr>ПД</vt:lpstr>
      <vt:lpstr>РД</vt:lpstr>
      <vt:lpstr>ПД!Заголовки_для_печати</vt:lpstr>
      <vt:lpstr>РД!Заголовки_для_печати</vt:lpstr>
      <vt:lpstr>Геодезия!Область_печати</vt:lpstr>
      <vt:lpstr>Геология!Область_печати</vt:lpstr>
      <vt:lpstr>Гидрометеорология!Область_печати</vt:lpstr>
      <vt:lpstr>'ППТ и ПМТ'!Область_печати</vt:lpstr>
      <vt:lpstr>'Свод '!Область_печати</vt:lpstr>
      <vt:lpstr>Экология!Область_печати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</dc:creator>
  <cp:lastModifiedBy>User</cp:lastModifiedBy>
  <cp:lastPrinted>2024-08-19T02:49:56Z</cp:lastPrinted>
  <dcterms:created xsi:type="dcterms:W3CDTF">2014-05-27T04:50:45Z</dcterms:created>
  <dcterms:modified xsi:type="dcterms:W3CDTF">2024-08-19T02:57:40Z</dcterms:modified>
</cp:coreProperties>
</file>